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496"/>
  </bookViews>
  <sheets>
    <sheet name="采购清单" sheetId="65" r:id="rId1"/>
    <sheet name="综合单价分析表" sheetId="66" r:id="rId2"/>
  </sheets>
  <externalReferences>
    <externalReference r:id="rId3"/>
    <externalReference r:id="rId4"/>
  </externalReferences>
  <definedNames>
    <definedName name="_xlnm._FilterDatabase" localSheetId="0" hidden="1">采购清单!$A$2:$HQ$82</definedName>
    <definedName name="a">INDEX("[qu报价样表.xls]"&amp;(COLUMN())-3,)&amp;"!a1"</definedName>
    <definedName name="玻璃镜" localSheetId="0">#REF!</definedName>
    <definedName name="玻璃镜">#REF!</definedName>
    <definedName name="布皮海棉" localSheetId="0">#REF!</definedName>
    <definedName name="布皮海棉">#REF!</definedName>
    <definedName name="金属类" localSheetId="0">#REF!</definedName>
    <definedName name="金属类">#REF!</definedName>
    <definedName name="木制部份" localSheetId="0">#REF!</definedName>
    <definedName name="木制部份">#REF!</definedName>
    <definedName name="石材" localSheetId="0">#REF!</definedName>
    <definedName name="石材">#REF!</definedName>
    <definedName name="五金" localSheetId="0">#REF!</definedName>
    <definedName name="五金">#REF!</definedName>
    <definedName name="油料" localSheetId="0">#REF!</definedName>
    <definedName name="油料">#REF!</definedName>
    <definedName name="_xlnm.Print_Area" localSheetId="0">采购清单!$A$1:$L$68</definedName>
    <definedName name="as">[1]材料!$F$27</definedName>
    <definedName name="CJRF">[2]变量单!$C$2</definedName>
    <definedName name="_xlnm.Print_Titles" localSheetId="0">采购清单!$1:$2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" name="ID_7A8AB72F36BA44269F5584EEEB5A0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2745" y="35102800"/>
          <a:ext cx="5343525" cy="722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0B0A6B6286FF4C189461CF9C2B393D3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2745" y="4597400"/>
          <a:ext cx="13487400" cy="280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B3425CCBFD254665A027FCD69CC010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2745" y="8229600"/>
          <a:ext cx="317182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70AA2C07DEE54A25BB772831B3EA81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62745" y="11518900"/>
          <a:ext cx="800100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388D0D4E0302448F87EF7A9A6291E3E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2745" y="18122900"/>
          <a:ext cx="3105150" cy="600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907A6DEDA2A4592A53E036DB93B77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62745" y="14833600"/>
          <a:ext cx="2257425" cy="505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4D0440FD56DB4D169716F0D528FEA39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62745" y="24841200"/>
          <a:ext cx="2428875" cy="371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ED467CBFA9B6461897B95F0378D8BC6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62745" y="132334000"/>
          <a:ext cx="2114550" cy="553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91F7393030764E269A317126E70A0B9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262745" y="129400300"/>
          <a:ext cx="2686050" cy="351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8A87A641FE4847A3A7CCA31D81F6AFF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36125" y="126949200"/>
          <a:ext cx="2428875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CDD2E3A74FB14E04840E2512675D20B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262745" y="93903800"/>
          <a:ext cx="6172200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529628046C6B4273A82F68643B681D4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62745" y="96939100"/>
          <a:ext cx="7200900" cy="568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BC8C3BC4B4544529367665990B2821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262745" y="99974400"/>
          <a:ext cx="6772275" cy="822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E6BA138FE717469688809021EA9B21A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62745" y="96939100"/>
          <a:ext cx="3886200" cy="485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7DDE80BCEA3E48B3A45626778C06E32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262745" y="96939100"/>
          <a:ext cx="7515225" cy="6972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DAED24ACDCF7484A9C848C0354C575D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62745" y="103009700"/>
          <a:ext cx="4029075" cy="468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83D39A4F620A4AF3815909431FC20BB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262745" y="96939100"/>
          <a:ext cx="5314950" cy="462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9B07031857AF49D893221B466B7AF95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62745" y="112115600"/>
          <a:ext cx="493395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9B90986D022447979D929E5D6835B2B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62745" y="115150900"/>
          <a:ext cx="5219700" cy="6572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427BFC9E9E5D490AAA32DD6E6227B47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262745" y="118186200"/>
          <a:ext cx="4972050" cy="5114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3FC07B54C8CA4248A4075FE3A479A3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262745" y="121221500"/>
          <a:ext cx="6229350" cy="408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371D79913CB1484FB9C54F45AF9B6E6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62745" y="81026000"/>
          <a:ext cx="2828925" cy="611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DE27785E21BF4DA4BD9B6FC1FC2EBB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262745" y="84366100"/>
          <a:ext cx="4591050" cy="617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0831959A5CBB48B9BA58D7D816CE8D0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262745" y="87693500"/>
          <a:ext cx="4229100" cy="540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EC652B51E95B42A593E389298296C24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262745" y="101003100"/>
          <a:ext cx="8172450" cy="354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2A4198D0AEBA427A99526726887505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262745" y="103987600"/>
          <a:ext cx="11630025" cy="422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A488B166450E4A84AF52E0EDEF7F3BAD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262745" y="58293000"/>
          <a:ext cx="6115050" cy="362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DD32FFEA63074CA58384B7888E40335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262745" y="61353700"/>
          <a:ext cx="2486025" cy="771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AAC49DD366884AB1BB7EFD407D540A1F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262745" y="64554100"/>
          <a:ext cx="620077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9A8A67BEBDD146D49189D39DC9B751A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336145" y="52070000"/>
          <a:ext cx="5029200" cy="725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61AF49491A6049B58EE003FF22B391D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262745" y="52070000"/>
          <a:ext cx="10115550" cy="625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7EE5ECE4C8FB40119B37A496F83A5AE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262745" y="55194200"/>
          <a:ext cx="2743200" cy="462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364213201381438985C711FA415AAB9D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336145" y="55194200"/>
          <a:ext cx="4400550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EADE9338521B49EAB4A61EF60ED7130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262745" y="48641000"/>
          <a:ext cx="2505075" cy="553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F5BC50E7A482498FA01CBC7052CD394A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262745" y="927100"/>
          <a:ext cx="4762500" cy="862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02D7267CD0D54DDE98DF559256DB468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262745" y="4597400"/>
          <a:ext cx="4600575" cy="777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77E91AB2668E4501AB980C0E5C5E5FBC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336145" y="4597400"/>
          <a:ext cx="5486400" cy="754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9D4F9A38FB694463849289562B99BB2A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262745" y="11938000"/>
          <a:ext cx="4343400" cy="600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486531EEAAC14AED8A9D24DE93019EE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262745" y="15608300"/>
          <a:ext cx="4200525" cy="740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E96C929BEE994EC8BF378CCE862C2A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62745" y="19278600"/>
          <a:ext cx="3514725" cy="662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AFB72A57EE644EFB376CC1C468347A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262745" y="22948900"/>
          <a:ext cx="3914775" cy="836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0AAC0BA51D6F4FE2BCBFD079231C436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262745" y="30251400"/>
          <a:ext cx="5572125" cy="634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F23C3A6AD20740459875E4B7B886829D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262745" y="8267700"/>
          <a:ext cx="5372100" cy="785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F11FCBDC69FF4AF1A0B2CC5DB1C8B6B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262745" y="15608300"/>
          <a:ext cx="4314825" cy="5591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24295D2CB44240C5BC024E297BD799C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262745" y="41224200"/>
          <a:ext cx="3914775" cy="740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0209B804C55E42C197ECD3B0C5DEFFE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262745" y="52070000"/>
          <a:ext cx="6029325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4BFD24C956404E308D59D759D34437D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262745" y="44831000"/>
          <a:ext cx="4629150" cy="742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FC6DA86FE7E644C1BCAC64FD6A43EB2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262745" y="52044600"/>
          <a:ext cx="2857500" cy="500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3996FAAD7DB04AE683587B1E0EF3753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262745" y="175018700"/>
          <a:ext cx="12677775" cy="540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8EF466D41BD456D90D4F39A43C47E6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262745" y="166154100"/>
          <a:ext cx="4400550" cy="501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D3404BD14E940B6801B888C8489161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262745" y="160159700"/>
          <a:ext cx="3657600" cy="505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94EA50FA6554198A37724DDF9D2FF5F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948545" y="143395700"/>
          <a:ext cx="7448550" cy="640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11C5740617674DE791B5A181552839DA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948545" y="146431000"/>
          <a:ext cx="5400675" cy="7848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FE070C73F024743B8814066E8757149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895330" y="51788060"/>
          <a:ext cx="2451735" cy="2743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067C798A81E4D7AABE31B5975952BE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948545" y="82499200"/>
          <a:ext cx="2971800" cy="985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6299C6693A344DDB3E35CA4E8B03B68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948545" y="186309000"/>
          <a:ext cx="3743325" cy="5286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CC0EA23786C40A59BE3CFAB006DBB3D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 rot="10800000">
          <a:off x="8401685" y="183996965"/>
          <a:ext cx="1905635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FE898E0D03DE4906A32BF916C7C7CF3D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1635105" y="162876865"/>
          <a:ext cx="1138555" cy="67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E55BE87D5F5843CAA5A28CE91AFFCFE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1757025" y="166946580"/>
          <a:ext cx="1064260" cy="705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EB3649E238494EBE994E882E431E701A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4085570" y="160940750"/>
          <a:ext cx="6886575" cy="434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AD0D5175317141CB8BB634E18D6EC7BE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4085570" y="157956250"/>
          <a:ext cx="6181725" cy="354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3AFEDF4CBD74B48B26982B9D1B8EBF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646285" y="63813055"/>
          <a:ext cx="4426585" cy="2576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86E38C992C774A67A440A494293A42E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1450320" y="133806565"/>
          <a:ext cx="942975" cy="28041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<sst xmlns="http://schemas.openxmlformats.org/spreadsheetml/2006/main" count="416" uniqueCount="154">
  <si>
    <t>稻香楼宾馆改造提升项目北辰苑木饰面采购清单</t>
  </si>
  <si>
    <t>序号</t>
  </si>
  <si>
    <t>类型</t>
  </si>
  <si>
    <t>项目名称</t>
  </si>
  <si>
    <t>项目特征</t>
  </si>
  <si>
    <t>图号或区域</t>
  </si>
  <si>
    <t>参考式样</t>
  </si>
  <si>
    <t>参考尺寸</t>
  </si>
  <si>
    <t>单位</t>
  </si>
  <si>
    <t>数量</t>
  </si>
  <si>
    <t>单价
（元）</t>
  </si>
  <si>
    <t>合价
（元）</t>
  </si>
  <si>
    <t>备注</t>
  </si>
  <si>
    <t>WD-201小山纹胡桃木皮</t>
  </si>
  <si>
    <t>入户单开门连框</t>
  </si>
  <si>
    <t>1、材质：实木复合门,木纹饰面(设计选样)
2、含门套及门墩、三维隐形液压静音合页（缓冲关闭）、暗藏式安全门链、门镜(选样)、暗藏闭门器(详设计选样)、静音防尘条、门吸等配套五金（五金品牌：“顶固”、“坚朗”、“汇泰龙” ），不含智能门锁
3、未尽事宜详见设计图纸、物料书、图集、图纸补充说明、招标文件、政府相关文件、规范等其他资料，满足验收要求</t>
  </si>
  <si>
    <t>客房</t>
  </si>
  <si>
    <t>㎡</t>
  </si>
  <si>
    <t>1、此工程量为门洞口净面积，报价时请注意考虑折算</t>
  </si>
  <si>
    <t>入户双开门连框</t>
  </si>
  <si>
    <t>1、材质：实木复合门,木纹饰面(设计选样)
2、含门套及门墩、铰链、暗藏闭门器(详设计选样)、门吸等配套五金（五金品牌：“顶固”、“坚朗”、“汇泰龙” ）
3、艺术拉手（仅安装，且含开孔等所有费用）
4、未尽事宜详见设计图纸、物料书、图集、图纸补充说明、招标文件、政府相关文件、规范等其他资料，满足验收要求</t>
  </si>
  <si>
    <t>1、此工程量为门洞口净面积，报价时请注意考虑折算
2、含艺术拉手安装</t>
  </si>
  <si>
    <t>造型单开门连框</t>
  </si>
  <si>
    <t>1、材质：实木复合门,木纹饰面(设计选样)
2、含门套及门墩、铰链、门吸、门拉手（设计选样）等配套五金（五金品牌：“顶固”、“坚朗”、“汇泰龙” ）
3、未尽事宜详见设计图纸、物料书、图集、图纸补充说明、招标文件、政府相关文件、规范等其他资料，满足验收要求</t>
  </si>
  <si>
    <t>木皮门框+艺术玻璃</t>
  </si>
  <si>
    <t>单开门连框</t>
  </si>
  <si>
    <t>1、材质：实木复合门,木纹饰面(设计选样)，GL202钢化艺术玻璃
2、含门套及门墩、铰链、门吸、门拉手（设计选样）等配套五金（五金品牌：“顶固”、“坚朗”、“汇泰龙” ）
3、未尽事宜详见设计图纸、物料书、图集、图纸补充说明、招标文件、政府相关文件、规范等其他资料，满足验收要求</t>
  </si>
  <si>
    <t>造型双开门连框</t>
  </si>
  <si>
    <t>1、材质：实木复合门,木纹饰面(设计选样)
2、含门套及门墩、铰链、执手锁,设计选样、静音防尘条、门吸等配套五金（五金品牌：“顶固”、“坚朗”、“汇泰龙” ）
3、未尽事宜详见设计图纸、物料书、图集、图纸补充说明、招标文件、政府相关文件、规范等其他资料，满足验收要求</t>
  </si>
  <si>
    <t>行政套</t>
  </si>
  <si>
    <t>单扇口袋移门连框</t>
  </si>
  <si>
    <t>1、部位：两间套
2、材质：实木复合门,木纹饰面(设计选样)，GL202钢化艺术玻璃（5+5mm超白长虹油砂玻璃中间需夹不透胶），35mm宽木质线条
3、含移门轨道、门锁、限位器示意，含门套，含配套五金（五金品牌：“顶固”、“坚朗”、“汇泰龙”）
4、未尽事宜详见设计图纸、物料书、图集、图纸补充说明、招标文件、政府相关文件、规范等其他资料，满足验收要求</t>
  </si>
  <si>
    <t>双扇口袋移门连框</t>
  </si>
  <si>
    <t>1、材质：实木复合门,木纹饰面(设计选样)，GL202钢化艺术玻璃（5+5mm超白长虹油砂玻璃中间需夹不透胶），35mm宽木质线条
2、含移门轨道、门锁、限位器示意，含门套，含配套五金（五金品牌：“顶固”、“坚朗”、“汇泰龙”）
3、未尽事宜详见设计图纸、物料书、图集、图纸补充说明、招标文件、政府相关文件、规范等其他资料，满足验收要求</t>
  </si>
  <si>
    <t>混油/木皮门框+艺术玻璃</t>
  </si>
  <si>
    <t>造型移门连框</t>
  </si>
  <si>
    <t>1、材质：实木复合门,木纹饰面(设计选样)，GL202钢化艺术玻璃（5+5mm超白长虹油砂玻璃中间需夹不透胶），35mm宽木质线条
2、含移门轨道、门锁、限位器、暗藏式移门拉手等配套五金件（五金品牌：“顶固”、“坚朗”、“汇泰龙” ）
3、未尽事宜详见设计图纸、物料书、图集、图纸补充说明、招标文件、政府相关文件、规范等其他资料，满足验收要求</t>
  </si>
  <si>
    <t>连通门</t>
  </si>
  <si>
    <t>1、材质：WD-201选型木饰面（面料、胶水、结构胶、板材详见物料书）双层联通门
2、含门套及门墩、铰链、门吸、执手锁,设计选样等配套五金（五金品牌：“顶固”、“坚朗”、“汇泰龙” ）
3、未尽事宜详见设计图纸、物料书、图集、图纸补充说明、招标文件、政府相关文件、规范等其他资料，满足验收要求</t>
  </si>
  <si>
    <t>平板单开门连框</t>
  </si>
  <si>
    <t>后勤</t>
  </si>
  <si>
    <t>平板双开门连框</t>
  </si>
  <si>
    <t>1、材质：实木复合门,木纹饰面(设计选样)
2、含门套线条、门侧边板、门墩、木门平合页、成品执手锁等配套五金（五金品牌：“顶固”、“坚朗”、“汇泰龙” ）
3、未尽事宜详见设计图纸、物料书、图集、图纸补充说明、招标文件、政府相关文件、规范等其他资料，满足验收要求</t>
  </si>
  <si>
    <t>后勤、员工卫生间</t>
  </si>
  <si>
    <t xml:space="preserve">1、此工程量为门洞口净面积，报价时请注意考虑折算
</t>
  </si>
  <si>
    <t>功能房间/一层公共卫生间</t>
  </si>
  <si>
    <t>1、材质：实木复合门,木纹饰面(设计选样)
2、含门套线条、门侧边板、门墩、木门平合页、门吸等配套五金（五金品牌：“顶固”、“坚朗”、“汇泰龙” ）
3、艺术拉手（仅安装，且含开孔等所有费用）
4、未尽事宜详见设计图纸、物料书、图集、图纸补充说明、招标文件、政府相关文件、规范等其他资料，满足验收要求</t>
  </si>
  <si>
    <t>功能房间</t>
  </si>
  <si>
    <t>造型四开门连框</t>
  </si>
  <si>
    <t>1、材质：实木复合门,木纹饰面(设计选样)
2、含门套线条、门侧边板、门墩、木门平合页、地弹簧、门轴、门吸等配套五金（五金品牌：“顶固”、“坚朗”、“汇泰龙” ）
3、艺术拉手（仅安装，且含开孔等所有费用）
4、未尽事宜详见设计图纸、物料书、图集、图纸补充说明、招标文件、政府相关文件、规范等其他资料，满足验收要求</t>
  </si>
  <si>
    <r>
      <rPr>
        <sz val="11"/>
        <rFont val="微软雅黑"/>
        <charset val="134"/>
      </rPr>
      <t>造型木饰面、</t>
    </r>
    <r>
      <rPr>
        <sz val="11"/>
        <color theme="1"/>
        <rFont val="微软雅黑"/>
        <charset val="134"/>
      </rPr>
      <t>门头板</t>
    </r>
  </si>
  <si>
    <t>1、WD201选型木饰面
2、未尽事宜详见设计图纸、物料书、图集、图纸补充说明、招标文件、政府相关文件、规范等其他资料，满足验收要求</t>
  </si>
  <si>
    <t>功能房间、走道</t>
  </si>
  <si>
    <t>空门套</t>
  </si>
  <si>
    <t>1、WD201选型木饰面门套，双面线条110*52，门侧边板、门墩
2、未尽事宜详见设计图纸、物料书、图集、图纸补充说明、招标文件、政府相关文件、规范等其他资料，满足验收要求</t>
  </si>
  <si>
    <t>m</t>
  </si>
  <si>
    <t>1、WD201选型木饰面门套，双面线条50*25
2、含底座50*30
3、未尽事宜详见设计图纸、物料书、图集、图纸补充说明、招标文件、政府相关文件、规范等其他资料，满足验收要求</t>
  </si>
  <si>
    <t>单边门套</t>
  </si>
  <si>
    <t>1、WD201选型木饰面门套，门套线条50*40、门侧边板、门墩
2、未尽事宜详见设计图纸、物料书、图集、图纸补充说明、招标文件、政府相关文件、规范等其他资料，满足验收要求</t>
  </si>
  <si>
    <t>走道</t>
  </si>
  <si>
    <t>双边门套</t>
  </si>
  <si>
    <t>双边哑口套</t>
  </si>
  <si>
    <t>1、WD201选型木饰面门套，双面线条110*52+线条80*72，门侧边板、门墩
2、未尽事宜详见设计图纸、物料书、图集、图纸补充说明、招标文件、政府相关文件、规范等其他资料，满足验收要求</t>
  </si>
  <si>
    <t>公区/走道</t>
  </si>
  <si>
    <t>1、WD201选型木饰面门套，一面线条110*52，另一面线条110*52+线条80*72，门侧边板、门墩
2、未尽事宜详见设计图纸、物料书、图集、图纸补充说明、招标文件、政府相关文件、规范等其他资料，满足验收要求</t>
  </si>
  <si>
    <t>公区</t>
  </si>
  <si>
    <t>平板木饰面</t>
  </si>
  <si>
    <t>一层功能房间</t>
  </si>
  <si>
    <t>二层走道及客房</t>
  </si>
  <si>
    <t>三层走道及客房</t>
  </si>
  <si>
    <t>1、WD201选型木饰面
2、含装饰构件（仅安装，且含开孔等所有费用）
3、未尽事宜详见设计图纸、物料书、图集、图纸补充说明、招标文件、政府相关文件、规范等其他资料，满足验收要求</t>
  </si>
  <si>
    <t>三层行政套</t>
  </si>
  <si>
    <t>1、含装饰构件安装</t>
  </si>
  <si>
    <t>雕花格木饰面</t>
  </si>
  <si>
    <t>1、WD201选型木饰面雕花格
2、未尽事宜详见设计图纸、物料书、图集、图纸补充说明、招标文件、政府相关文件、规范等其他资料，满足验收要求</t>
  </si>
  <si>
    <t>三层客房</t>
  </si>
  <si>
    <t>衣柜兼行李架</t>
  </si>
  <si>
    <t>1、WD201选型木饰面柜体、柜门
2、含挂衣杆、抽屉、金属嵌条、合页等配套五件金（五金品牌：“顶固”、“坚朗”、“汇泰龙”），暗藏LED灯带（灯带品牌：“西顿”、“雷士照明”，“佛山照明”） 
3、工程量按立面投影计入
4、未尽事宜详见设计图纸、物料书、图集、图纸补充说明、招标文件、政府相关文件、规范等其他资料，满足验收要求</t>
  </si>
  <si>
    <t>1、不含踢脚线、外框线条</t>
  </si>
  <si>
    <t>L型衣柜</t>
  </si>
  <si>
    <t>书柜</t>
  </si>
  <si>
    <t>1、WD201选型木饰面柜体、柜门
2、含直径10成品铜管护栏、合页等配套五件金（五金品牌：“顶固”、“坚朗”、“汇泰龙”），层板暗藏LED灯带（灯带品牌：“西顿”、“雷士照明”，“佛山照明”） 
3、工程量按立面投影计入
4、未尽事宜详见设计图纸、物料书、图集、图纸补充说明、招标文件、政府相关文件、规范等其他资料，满足验收要求</t>
  </si>
  <si>
    <t>洗手台</t>
  </si>
  <si>
    <t>1、WD201选型木饰面定制柜，配套五金（五金品牌：“顶固”、“坚朗”、“汇泰龙” ）
3、工程量按立面投影计入
4、未尽事宜详见设计图纸、物料书、图集、图纸补充说明、招标文件、政府相关文件、规范等其他资料，满足验收要求</t>
  </si>
  <si>
    <t>台下定制活动柜</t>
  </si>
  <si>
    <t>1、WD201选型木饰面柜体、柜门
2、含合页等配套五件金（五金品牌：“顶固”、“坚朗”、“汇泰龙”）
3、未尽事宜详见设计图纸、物料书、图集、图纸补充说明、招标文件、政府相关文件、规范等其他资料，满足验收要求</t>
  </si>
  <si>
    <t>1、材质：WD201选型木饰面定制柜，配套五金（五金品牌：“顶固”、“坚朗”、“汇泰龙” ）
2、未尽事宜详见设计图纸、物料书、图集、图纸补充说明、招标文件、政府相关文件、规范等其他资料，满足验收要求</t>
  </si>
  <si>
    <t>公共/员工卫生间</t>
  </si>
  <si>
    <t>隔断</t>
  </si>
  <si>
    <t>1、材质：WD201选型木饰面隔断
2、含配套五金（五金品牌：“顶固”、“坚朗”、“汇泰龙” ）件
3、未尽事宜详见设计图纸、物料书、图集、图纸补充说明、招标文件、政府相关文件、规范等其他资料，满足验收要求</t>
  </si>
  <si>
    <t>公卫小便斗隔断</t>
  </si>
  <si>
    <t>造型线</t>
  </si>
  <si>
    <t>1、WD201选型木饰面线条15*25mm
2、未尽事宜详见设计图纸、物料书、图集、图纸补充说明、招标文件、政府相关文件、规范等其他资料，满足验收要求</t>
  </si>
  <si>
    <t>过道/公区/功能房间</t>
  </si>
  <si>
    <t>1、WD201选型木饰面线条15*40mm
2、未尽事宜详见设计图纸、物料书、图集、图纸补充说明、招标文件、政府相关文件、规范等其他资料，满足验收要求</t>
  </si>
  <si>
    <t>1、WD201选型木饰面线条25*31mm
2、未尽事宜详见设计图纸、物料书、图集、图纸补充说明、招标文件、政府相关文件、规范等其他资料，满足验收要求</t>
  </si>
  <si>
    <t>客房/过道</t>
  </si>
  <si>
    <t>1、WD201选型木饰面线条50*44mm
2、未尽事宜详见设计图纸、物料书、图集、图纸补充说明、招标文件、政府相关文件、规范等其他资料，满足验收要求</t>
  </si>
  <si>
    <t>1、WD201选型木饰面线条50*34mm
2、未尽事宜详见设计图纸、物料书、图集、图纸补充说明、招标文件、政府相关文件、规范等其他资料，满足验收要求</t>
  </si>
  <si>
    <t>1、WD201选型木饰面线条31*35mm
2、未尽事宜详见设计图纸、物料书、图集、图纸补充说明、招标文件、政府相关文件、规范等其他资料，满足验收要求</t>
  </si>
  <si>
    <t xml:space="preserve">行政套卫生间 </t>
  </si>
  <si>
    <t>1、WD201选型木饰面线条170*260mm
2、未尽事宜详见设计图纸、物料书、图集、图纸补充说明、招标文件、政府相关文件、规范等其他资料，满足验收要求</t>
  </si>
  <si>
    <t>1、WD201选型木饰面线条20*30mm
2、未尽事宜详见设计图纸、物料书、图集、图纸补充说明、招标文件、政府相关文件、规范等其他资料，满足验收要求</t>
  </si>
  <si>
    <t>三层走道</t>
  </si>
  <si>
    <t>1、WD201选型木饰面线条35*20mm
2、未尽事宜详见设计图纸、物料书、图集、图纸补充说明、招标文件、政府相关文件、规范等其他资料，满足验收要求</t>
  </si>
  <si>
    <t>1、WD201选型木饰面线条30*50mm
2、未尽事宜详见设计图纸、物料书、图集、图纸补充说明、招标文件、政府相关文件、规范等其他资料，满足验收要求</t>
  </si>
  <si>
    <t>1、WD201选型木饰面线条257*380mm
2、未尽事宜详见设计图纸、物料书、图集、图纸补充说明、招标文件、政府相关文件、规范等其他资料，满足验收要求</t>
  </si>
  <si>
    <t>1、WD201选型木饰面线条40*100mm
2、未尽事宜详见设计图纸、物料书、图集、图纸补充说明、招标文件、政府相关文件、规范等其他资料，满足验收要求</t>
  </si>
  <si>
    <t>二、三层走道/客房</t>
  </si>
  <si>
    <t>1、WD201选型木饰面线条25*50mm
2、未尽事宜详见设计图纸、物料书、图集、图纸补充说明、招标文件、政府相关文件、规范等其他资料，满足验收要求</t>
  </si>
  <si>
    <t>二、三层走道</t>
  </si>
  <si>
    <t>线框</t>
  </si>
  <si>
    <t>1、WD201选型木饰面线框30*50mm
2、未尽事宜详见设计图纸、物料书、图集、图纸补充说明、招标文件、政府相关文件、规范等其他资料，满足验收要求</t>
  </si>
  <si>
    <t>1、WD201选型木饰面线框110*53mm+15*80mm
2、未尽事宜详见设计图纸、物料书、图集、图纸补充说明、招标文件、政府相关文件、规范等其他资料，满足验收要求</t>
  </si>
  <si>
    <t>1、WD201选型木饰面线框100*40mm+50*60mm
2、未尽事宜详见设计图纸、物料书、图集、图纸补充说明、招标文件、政府相关文件、规范等其他资料，满足验收要求</t>
  </si>
  <si>
    <t>客房/走道</t>
  </si>
  <si>
    <t>1、WD201选型木饰面线框15*35mm
2、未尽事宜详见设计图纸、物料书、图集、图纸补充说明、招标文件、政府相关文件、规范等其他资料，满足验收要求</t>
  </si>
  <si>
    <t>包厢、公共卫生间镜框</t>
  </si>
  <si>
    <t>1、WD201选型木饰面线框55*25mm
2、未尽事宜详见设计图纸、物料书、图集、图纸补充说明、招标文件、政府相关文件、规范等其他资料，满足验收要求</t>
  </si>
  <si>
    <t>踢脚线</t>
  </si>
  <si>
    <t>1、WD201选型木饰面
2、高度：50mm
3、未尽事宜详见设计图纸、物料书、图集、图纸补充说明、招标文件、政府相关文件、规范等其他资料，满足验收要求</t>
  </si>
  <si>
    <t>50mm</t>
  </si>
  <si>
    <t>1、只按高度，厚度综合考虑</t>
  </si>
  <si>
    <t>1、WD201选型木饰面
2、高度：120mm
3、未尽事宜详见设计图纸、物料书、图集、图纸补充说明、招标文件、政府相关文件、规范等其他资料，满足验收要求</t>
  </si>
  <si>
    <t>过道</t>
  </si>
  <si>
    <t>120mm</t>
  </si>
  <si>
    <t>1、WD201选型木饰面
2、高度：200mm
3、未尽事宜详见设计图纸、物料书、图集、图纸补充说明、招标文件、政府相关文件、规范等其他资料，满足验收要求</t>
  </si>
  <si>
    <t>200mm</t>
  </si>
  <si>
    <t>接待台</t>
  </si>
  <si>
    <t>1、面层：WD201选型木饰面
2、含装饰灯，选型木饰面柜体、柜门、抽屉，配套五金（五金品牌：“顶固”、“坚朗”、“汇泰龙” ）件
3、未尽事宜详见设计图纸、物料书、图集、图纸补充说明、招标文件、政府相关文件、规范等其他资料，满足验收要求</t>
  </si>
  <si>
    <t>中庭</t>
  </si>
  <si>
    <t>1、大厅接待台木饰面部分</t>
  </si>
  <si>
    <t>总价（元）</t>
  </si>
  <si>
    <t>备注：
1、以上报价须包含成品保护费用；
2、须完善综合单价分析表</t>
  </si>
  <si>
    <t>工作内容</t>
  </si>
  <si>
    <t>损耗</t>
  </si>
  <si>
    <t>单价(元）</t>
  </si>
  <si>
    <t>合价（元）</t>
  </si>
  <si>
    <t>一</t>
  </si>
  <si>
    <t>人工费</t>
  </si>
  <si>
    <t>二</t>
  </si>
  <si>
    <t>材料费</t>
  </si>
  <si>
    <t>面材</t>
  </si>
  <si>
    <t>三</t>
  </si>
  <si>
    <t>其他材料</t>
  </si>
  <si>
    <t>机械费</t>
  </si>
  <si>
    <t>四</t>
  </si>
  <si>
    <t>综合取费</t>
  </si>
  <si>
    <t>管理费</t>
  </si>
  <si>
    <t>利润</t>
  </si>
  <si>
    <t>五</t>
  </si>
  <si>
    <t>税金</t>
  </si>
  <si>
    <t>六</t>
  </si>
  <si>
    <t>综合单价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</si>
</sst>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 \¥* #,##0_ ;_ \¥* \-#,##0_ ;_ \¥* &quot;-&quot;_ ;_ @_ "/>
    <numFmt numFmtId="178" formatCode="_ \¥* #,##0.00_ ;_ \¥* \-#,##0.00_ ;_ \¥* &quot;-&quot;??_ ;_ @_ "/>
    <numFmt numFmtId="179" formatCode="_(&quot;$&quot;* #,##0.00_);_(&quot;$&quot;* \(#,##0.00\);_(&quot;$&quot;* &quot;-&quot;??_);_(@_)"/>
    <numFmt numFmtId="180" formatCode="_ &quot;$&quot;* #,##0.00_ ;_ &quot;$&quot;* \-#,##0.00_ ;_ &quot;$&quot;* &quot;-&quot;??_ ;_ @_ "/>
    <numFmt numFmtId="181" formatCode="0.00_ "/>
    <numFmt numFmtId="182" formatCode="_ [$€-2]* #,##0.00_ ;_ [$€-2]* \-#,##0.00_ ;_ [$€-2]* &quot;-&quot;??_ "/>
    <numFmt numFmtId="183" formatCode="0_ "/>
    <numFmt numFmtId="184" formatCode="0.00_);[Red]\(0.00\)"/>
    <numFmt numFmtId="185" formatCode="0.0_ "/>
    <numFmt numFmtId="186" formatCode="#,##0.00_ "/>
  </numFmts>
  <fonts count="5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微软雅黑"/>
      <charset val="134"/>
    </font>
    <font>
      <b/>
      <sz val="14"/>
      <name val="微软雅黑"/>
      <charset val="134"/>
    </font>
    <font>
      <sz val="11"/>
      <name val="微软雅黑"/>
      <charset val="134"/>
    </font>
    <font>
      <sz val="14"/>
      <name val="微软雅黑"/>
      <charset val="134"/>
    </font>
    <font>
      <sz val="11"/>
      <color rgb="FFFF0000"/>
      <name val="宋体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Times New Roman"/>
      <charset val="134"/>
    </font>
    <font>
      <i/>
      <sz val="12"/>
      <color indexed="23"/>
      <name val="宋体"/>
      <charset val="134"/>
    </font>
    <font>
      <sz val="11"/>
      <color indexed="17"/>
      <name val="宋体"/>
      <charset val="134"/>
    </font>
    <font>
      <sz val="14"/>
      <color theme="1"/>
      <name val="宋体"/>
      <charset val="134"/>
      <scheme val="minor"/>
    </font>
    <font>
      <sz val="11"/>
      <color indexed="20"/>
      <name val="宋体"/>
      <charset val="134"/>
    </font>
    <font>
      <sz val="12"/>
      <color indexed="60"/>
      <name val="宋体"/>
      <charset val="134"/>
    </font>
    <font>
      <b/>
      <sz val="10"/>
      <name val="Arial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0"/>
      <name val="Courier"/>
      <charset val="134"/>
    </font>
    <font>
      <sz val="9"/>
      <name val="Arial"/>
      <charset val="134"/>
    </font>
    <font>
      <u/>
      <sz val="11"/>
      <color indexed="12"/>
      <name val="宋体"/>
      <charset val="134"/>
    </font>
    <font>
      <sz val="10"/>
      <color indexed="8"/>
      <name val="Arial"/>
      <charset val="134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6" borderId="28" applyNumberFormat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Border="0"/>
    <xf numFmtId="0" fontId="40" fillId="0" borderId="0" applyBorder="0"/>
    <xf numFmtId="0" fontId="41" fillId="0" borderId="0" applyNumberForma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44" fillId="36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180" fontId="0" fillId="0" borderId="0" applyFont="0" applyFill="0" applyBorder="0" applyAlignment="0" applyProtection="0"/>
    <xf numFmtId="0" fontId="0" fillId="0" borderId="0" applyBorder="0"/>
    <xf numFmtId="0" fontId="0" fillId="0" borderId="0" applyBorder="0">
      <alignment vertical="top"/>
    </xf>
    <xf numFmtId="0" fontId="0" fillId="0" borderId="0" applyBorder="0"/>
    <xf numFmtId="0" fontId="0" fillId="0" borderId="0" applyBorder="0"/>
    <xf numFmtId="0" fontId="0" fillId="0" borderId="0" applyBorder="0"/>
    <xf numFmtId="0" fontId="44" fillId="36" borderId="0" applyNumberFormat="0" applyBorder="0" applyAlignment="0" applyProtection="0">
      <alignment vertical="center"/>
    </xf>
    <xf numFmtId="0" fontId="0" fillId="0" borderId="0" applyBorder="0"/>
    <xf numFmtId="177" fontId="0" fillId="0" borderId="0" applyFont="0" applyFill="0" applyBorder="0" applyAlignment="0" applyProtection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45" fillId="37" borderId="0" applyNumberFormat="0" applyBorder="0" applyAlignment="0" applyProtection="0"/>
    <xf numFmtId="0" fontId="1" fillId="0" borderId="0" applyBorder="0"/>
    <xf numFmtId="0" fontId="0" fillId="0" borderId="0" applyBorder="0"/>
    <xf numFmtId="0" fontId="0" fillId="0" borderId="0" applyBorder="0">
      <alignment vertical="top"/>
    </xf>
    <xf numFmtId="0" fontId="0" fillId="0" borderId="0" applyBorder="0"/>
    <xf numFmtId="0" fontId="46" fillId="0" borderId="0" applyNumberFormat="0" applyFill="0" applyBorder="0" applyAlignment="0" applyProtection="0"/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1" fillId="0" borderId="0" applyBorder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/>
    <xf numFmtId="0" fontId="0" fillId="0" borderId="0" applyBorder="0"/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9" fontId="0" fillId="0" borderId="0" applyFont="0" applyFill="0" applyBorder="0" applyAlignment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39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1" fillId="0" borderId="0" applyBorder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44" fillId="36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44" fillId="3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4" fillId="36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9" fontId="0" fillId="0" borderId="0" applyFont="0" applyFill="0" applyBorder="0" applyAlignment="0" applyProtection="0"/>
    <xf numFmtId="0" fontId="44" fillId="36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 applyBorder="0"/>
    <xf numFmtId="9" fontId="39" fillId="0" borderId="0" applyFont="0" applyFill="0" applyBorder="0" applyAlignment="0" applyProtection="0"/>
    <xf numFmtId="0" fontId="1" fillId="0" borderId="0" applyBorder="0">
      <alignment vertical="center"/>
    </xf>
    <xf numFmtId="0" fontId="1" fillId="0" borderId="0" applyBorder="0">
      <alignment vertical="center"/>
    </xf>
    <xf numFmtId="9" fontId="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0" borderId="0" applyNumberFormat="0" applyBorder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9" fillId="0" borderId="0" applyBorder="0"/>
    <xf numFmtId="0" fontId="50" fillId="0" borderId="0" applyBorder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44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2" fillId="0" borderId="0" applyBorder="0">
      <alignment vertical="top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7" fillId="0" borderId="0" applyBorder="0"/>
    <xf numFmtId="9" fontId="0" fillId="0" borderId="0" applyFont="0" applyFill="0" applyBorder="0" applyAlignment="0" applyProtection="0"/>
    <xf numFmtId="0" fontId="53" fillId="0" borderId="0" applyBorder="0"/>
    <xf numFmtId="0" fontId="0" fillId="0" borderId="0" applyBorder="0">
      <alignment vertical="center"/>
    </xf>
    <xf numFmtId="0" fontId="1" fillId="0" borderId="0" applyBorder="0">
      <alignment vertical="center"/>
    </xf>
    <xf numFmtId="43" fontId="0" fillId="0" borderId="0" applyFont="0" applyFill="0" applyBorder="0" applyAlignment="0" applyProtection="0"/>
    <xf numFmtId="0" fontId="0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 applyProtection="0"/>
    <xf numFmtId="0" fontId="0" fillId="0" borderId="0" applyBorder="0"/>
    <xf numFmtId="41" fontId="0" fillId="0" borderId="0" applyFont="0" applyFill="0" applyBorder="0" applyAlignment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 applyBorder="0"/>
    <xf numFmtId="0" fontId="1" fillId="0" borderId="0" applyBorder="0">
      <alignment vertical="center"/>
    </xf>
    <xf numFmtId="41" fontId="0" fillId="0" borderId="0" applyFont="0" applyFill="0" applyBorder="0" applyAlignment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 applyBorder="0"/>
    <xf numFmtId="0" fontId="1" fillId="17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Border="0"/>
    <xf numFmtId="41" fontId="0" fillId="0" borderId="0" applyFont="0" applyFill="0" applyBorder="0" applyAlignment="0" applyProtection="0"/>
    <xf numFmtId="0" fontId="1" fillId="0" borderId="0" applyBorder="0">
      <alignment vertical="center"/>
    </xf>
    <xf numFmtId="0" fontId="0" fillId="0" borderId="0" applyBorder="0"/>
    <xf numFmtId="0" fontId="44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Border="0"/>
    <xf numFmtId="0" fontId="1" fillId="0" borderId="0" applyBorder="0">
      <alignment vertical="center"/>
    </xf>
    <xf numFmtId="0" fontId="52" fillId="0" borderId="0" applyNumberFormat="0" applyFill="0" applyBorder="0" applyAlignment="0" applyProtection="0">
      <alignment vertical="top"/>
    </xf>
    <xf numFmtId="0" fontId="0" fillId="0" borderId="0" applyBorder="0"/>
    <xf numFmtId="0" fontId="40" fillId="0" borderId="0" applyBorder="0"/>
    <xf numFmtId="0" fontId="0" fillId="0" borderId="0" applyBorder="0"/>
    <xf numFmtId="43" fontId="0" fillId="0" borderId="0" applyFont="0" applyFill="0" applyBorder="0" applyAlignment="0" applyProtection="0"/>
    <xf numFmtId="0" fontId="1" fillId="0" borderId="0" applyBorder="0">
      <alignment vertical="center"/>
    </xf>
    <xf numFmtId="0" fontId="0" fillId="0" borderId="0" applyBorder="0">
      <alignment vertical="center"/>
    </xf>
  </cellStyleXfs>
  <cellXfs count="9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82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8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0" applyNumberFormat="1" applyFont="1" applyFill="1" applyBorder="1" applyAlignment="1">
      <alignment horizontal="center" vertical="center" wrapText="1"/>
    </xf>
    <xf numFmtId="182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83" fontId="4" fillId="0" borderId="8" xfId="0" applyNumberFormat="1" applyFont="1" applyFill="1" applyBorder="1" applyAlignment="1">
      <alignment horizontal="center" vertical="center" wrapText="1"/>
    </xf>
    <xf numFmtId="182" fontId="4" fillId="0" borderId="6" xfId="0" applyNumberFormat="1" applyFont="1" applyFill="1" applyBorder="1" applyAlignment="1">
      <alignment horizontal="left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84" fontId="4" fillId="0" borderId="6" xfId="0" applyNumberFormat="1" applyFont="1" applyFill="1" applyBorder="1" applyAlignment="1">
      <alignment horizontal="center" vertical="center" wrapText="1"/>
    </xf>
    <xf numFmtId="181" fontId="4" fillId="0" borderId="6" xfId="0" applyNumberFormat="1" applyFont="1" applyFill="1" applyBorder="1" applyAlignment="1">
      <alignment horizontal="center" vertical="center" wrapText="1"/>
    </xf>
    <xf numFmtId="43" fontId="4" fillId="0" borderId="6" xfId="0" applyNumberFormat="1" applyFont="1" applyFill="1" applyBorder="1" applyAlignment="1">
      <alignment horizontal="center" vertical="center" wrapText="1"/>
    </xf>
    <xf numFmtId="181" fontId="4" fillId="0" borderId="9" xfId="0" applyNumberFormat="1" applyFont="1" applyFill="1" applyBorder="1" applyAlignment="1">
      <alignment horizontal="center" vertical="center" wrapText="1"/>
    </xf>
    <xf numFmtId="181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81" fontId="3" fillId="0" borderId="8" xfId="0" applyNumberFormat="1" applyFont="1" applyFill="1" applyBorder="1" applyAlignment="1">
      <alignment horizontal="center" vertical="center" wrapText="1"/>
    </xf>
    <xf numFmtId="182" fontId="3" fillId="0" borderId="6" xfId="0" applyNumberFormat="1" applyFont="1" applyFill="1" applyBorder="1" applyAlignment="1">
      <alignment horizontal="center" vertical="center" wrapText="1"/>
    </xf>
    <xf numFmtId="43" fontId="3" fillId="0" borderId="6" xfId="0" applyNumberFormat="1" applyFont="1" applyFill="1" applyBorder="1" applyAlignment="1">
      <alignment horizontal="right" vertical="center" wrapText="1"/>
    </xf>
    <xf numFmtId="10" fontId="3" fillId="0" borderId="6" xfId="0" applyNumberFormat="1" applyFont="1" applyFill="1" applyBorder="1" applyAlignment="1">
      <alignment horizontal="right" vertical="center" wrapText="1"/>
    </xf>
    <xf numFmtId="181" fontId="3" fillId="0" borderId="6" xfId="0" applyNumberFormat="1" applyFont="1" applyFill="1" applyBorder="1" applyAlignment="1">
      <alignment horizontal="right" vertical="center" wrapText="1"/>
    </xf>
    <xf numFmtId="182" fontId="3" fillId="0" borderId="9" xfId="0" applyNumberFormat="1" applyFont="1" applyFill="1" applyBorder="1" applyAlignment="1">
      <alignment horizontal="left" vertical="center" wrapText="1"/>
    </xf>
    <xf numFmtId="183" fontId="3" fillId="0" borderId="8" xfId="0" applyNumberFormat="1" applyFont="1" applyFill="1" applyBorder="1" applyAlignment="1">
      <alignment horizontal="center" vertical="center" wrapText="1"/>
    </xf>
    <xf numFmtId="182" fontId="3" fillId="0" borderId="6" xfId="0" applyNumberFormat="1" applyFont="1" applyFill="1" applyBorder="1" applyAlignment="1">
      <alignment horizontal="left" vertical="center" wrapText="1"/>
    </xf>
    <xf numFmtId="184" fontId="3" fillId="0" borderId="6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181" fontId="3" fillId="0" borderId="6" xfId="0" applyNumberFormat="1" applyFont="1" applyFill="1" applyBorder="1" applyAlignment="1">
      <alignment horizontal="center" vertical="center" wrapText="1"/>
    </xf>
    <xf numFmtId="185" fontId="4" fillId="0" borderId="8" xfId="0" applyNumberFormat="1" applyFont="1" applyFill="1" applyBorder="1" applyAlignment="1">
      <alignment horizontal="center" vertical="center" wrapText="1"/>
    </xf>
    <xf numFmtId="0" fontId="5" fillId="0" borderId="10" xfId="194" applyFont="1" applyFill="1" applyBorder="1" applyAlignment="1">
      <alignment horizontal="left" vertical="center" wrapText="1"/>
    </xf>
    <xf numFmtId="182" fontId="4" fillId="0" borderId="9" xfId="0" applyNumberFormat="1" applyFont="1" applyFill="1" applyBorder="1" applyAlignment="1">
      <alignment horizontal="left" vertical="center" wrapText="1"/>
    </xf>
    <xf numFmtId="181" fontId="4" fillId="0" borderId="8" xfId="0" applyNumberFormat="1" applyFont="1" applyFill="1" applyBorder="1" applyAlignment="1">
      <alignment horizontal="center" vertical="center" wrapText="1"/>
    </xf>
    <xf numFmtId="182" fontId="4" fillId="0" borderId="6" xfId="0" applyNumberFormat="1" applyFont="1" applyFill="1" applyBorder="1" applyAlignment="1">
      <alignment horizontal="center" vertical="center" wrapText="1"/>
    </xf>
    <xf numFmtId="182" fontId="3" fillId="0" borderId="11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/>
    </xf>
    <xf numFmtId="182" fontId="4" fillId="0" borderId="12" xfId="0" applyNumberFormat="1" applyFont="1" applyFill="1" applyBorder="1" applyAlignment="1">
      <alignment horizontal="left" vertical="center" wrapText="1"/>
    </xf>
    <xf numFmtId="184" fontId="4" fillId="0" borderId="12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left" vertical="center" wrapText="1"/>
    </xf>
    <xf numFmtId="181" fontId="0" fillId="0" borderId="13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10" fontId="0" fillId="0" borderId="10" xfId="0" applyNumberFormat="1" applyFont="1" applyFill="1" applyBorder="1" applyAlignment="1">
      <alignment vertical="center"/>
    </xf>
    <xf numFmtId="181" fontId="0" fillId="0" borderId="10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81" fontId="3" fillId="0" borderId="4" xfId="0" applyNumberFormat="1" applyFont="1" applyFill="1" applyBorder="1" applyAlignment="1">
      <alignment horizontal="center" vertical="center" wrapText="1"/>
    </xf>
    <xf numFmtId="182" fontId="3" fillId="0" borderId="5" xfId="0" applyNumberFormat="1" applyFont="1" applyFill="1" applyBorder="1" applyAlignment="1">
      <alignment horizontal="left" vertical="center" wrapText="1"/>
    </xf>
    <xf numFmtId="184" fontId="4" fillId="0" borderId="5" xfId="0" applyNumberFormat="1" applyFont="1" applyFill="1" applyBorder="1" applyAlignment="1">
      <alignment horizontal="center" vertical="center" wrapText="1"/>
    </xf>
    <xf numFmtId="182" fontId="3" fillId="0" borderId="7" xfId="0" applyNumberFormat="1" applyFont="1" applyFill="1" applyBorder="1" applyAlignment="1">
      <alignment horizontal="left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9" fontId="4" fillId="0" borderId="15" xfId="0" applyNumberFormat="1" applyFont="1" applyFill="1" applyBorder="1" applyAlignment="1">
      <alignment horizontal="center" vertical="center" wrapText="1"/>
    </xf>
    <xf numFmtId="10" fontId="4" fillId="0" borderId="16" xfId="0" applyNumberFormat="1" applyFont="1" applyFill="1" applyBorder="1" applyAlignment="1">
      <alignment horizontal="center" vertical="center" wrapText="1"/>
    </xf>
    <xf numFmtId="181" fontId="3" fillId="0" borderId="17" xfId="0" applyNumberFormat="1" applyFont="1" applyFill="1" applyBorder="1" applyAlignment="1">
      <alignment horizontal="center" vertical="center" wrapText="1"/>
    </xf>
    <xf numFmtId="182" fontId="3" fillId="0" borderId="12" xfId="0" applyNumberFormat="1" applyFont="1" applyFill="1" applyBorder="1" applyAlignment="1">
      <alignment horizontal="left" vertical="center" wrapText="1"/>
    </xf>
    <xf numFmtId="181" fontId="3" fillId="0" borderId="18" xfId="0" applyNumberFormat="1" applyFont="1" applyFill="1" applyBorder="1" applyAlignment="1">
      <alignment horizontal="center" vertical="center" wrapText="1"/>
    </xf>
    <xf numFmtId="182" fontId="3" fillId="0" borderId="19" xfId="0" applyNumberFormat="1" applyFont="1" applyFill="1" applyBorder="1" applyAlignment="1">
      <alignment horizontal="left" vertical="center" wrapText="1"/>
    </xf>
    <xf numFmtId="182" fontId="4" fillId="0" borderId="19" xfId="0" applyNumberFormat="1" applyFont="1" applyFill="1" applyBorder="1" applyAlignment="1">
      <alignment horizontal="center" vertical="center" wrapText="1"/>
    </xf>
    <xf numFmtId="184" fontId="4" fillId="0" borderId="20" xfId="0" applyNumberFormat="1" applyFont="1" applyFill="1" applyBorder="1" applyAlignment="1">
      <alignment horizontal="center" vertical="center" wrapText="1"/>
    </xf>
    <xf numFmtId="10" fontId="4" fillId="0" borderId="21" xfId="0" applyNumberFormat="1" applyFont="1" applyFill="1" applyBorder="1" applyAlignment="1">
      <alignment horizontal="center" vertical="center" wrapText="1"/>
    </xf>
    <xf numFmtId="181" fontId="4" fillId="0" borderId="22" xfId="0" applyNumberFormat="1" applyFont="1" applyFill="1" applyBorder="1" applyAlignment="1">
      <alignment horizontal="center" vertical="center" wrapText="1"/>
    </xf>
    <xf numFmtId="43" fontId="3" fillId="0" borderId="19" xfId="0" applyNumberFormat="1" applyFont="1" applyFill="1" applyBorder="1" applyAlignment="1">
      <alignment horizontal="center" vertical="center" wrapText="1"/>
    </xf>
    <xf numFmtId="182" fontId="3" fillId="0" borderId="23" xfId="0" applyNumberFormat="1" applyFont="1" applyFill="1" applyBorder="1" applyAlignment="1">
      <alignment horizontal="left" vertical="center" wrapText="1"/>
    </xf>
    <xf numFmtId="0" fontId="7" fillId="0" borderId="0" xfId="106" applyFont="1" applyFill="1" applyAlignment="1">
      <alignment vertical="center" wrapText="1"/>
    </xf>
    <xf numFmtId="0" fontId="8" fillId="0" borderId="0" xfId="106" applyFont="1" applyFill="1" applyAlignment="1">
      <alignment vertical="center" wrapText="1"/>
    </xf>
    <xf numFmtId="0" fontId="9" fillId="0" borderId="0" xfId="106" applyFont="1" applyFill="1" applyAlignment="1">
      <alignment vertical="center" wrapText="1"/>
    </xf>
    <xf numFmtId="0" fontId="10" fillId="0" borderId="0" xfId="106" applyFont="1" applyFill="1" applyAlignment="1">
      <alignment vertical="center"/>
    </xf>
    <xf numFmtId="0" fontId="6" fillId="0" borderId="0" xfId="106" applyFont="1" applyFill="1" applyAlignment="1">
      <alignment horizontal="center" vertical="center"/>
    </xf>
    <xf numFmtId="0" fontId="6" fillId="0" borderId="0" xfId="106" applyFont="1" applyFill="1"/>
    <xf numFmtId="0" fontId="6" fillId="0" borderId="0" xfId="106" applyFont="1" applyFill="1" applyAlignment="1">
      <alignment horizontal="left" wrapText="1"/>
    </xf>
    <xf numFmtId="0" fontId="6" fillId="0" borderId="0" xfId="106" applyFont="1" applyFill="1" applyAlignment="1">
      <alignment horizontal="center" wrapText="1"/>
    </xf>
    <xf numFmtId="186" fontId="11" fillId="0" borderId="0" xfId="106" applyNumberFormat="1" applyFont="1" applyFill="1" applyAlignment="1">
      <alignment horizontal="right" vertical="center"/>
    </xf>
    <xf numFmtId="0" fontId="11" fillId="0" borderId="0" xfId="106" applyFont="1" applyFill="1" applyAlignment="1">
      <alignment horizontal="left" vertical="center"/>
    </xf>
    <xf numFmtId="0" fontId="12" fillId="0" borderId="24" xfId="106" applyFont="1" applyFill="1" applyBorder="1" applyAlignment="1">
      <alignment horizontal="center" vertical="center" wrapText="1"/>
    </xf>
    <xf numFmtId="186" fontId="12" fillId="0" borderId="24" xfId="106" applyNumberFormat="1" applyFont="1" applyFill="1" applyBorder="1" applyAlignment="1">
      <alignment horizontal="right" vertical="center" wrapText="1"/>
    </xf>
    <xf numFmtId="0" fontId="6" fillId="0" borderId="0" xfId="106" applyFont="1" applyFill="1" applyAlignment="1">
      <alignment vertical="center" wrapText="1"/>
    </xf>
    <xf numFmtId="0" fontId="13" fillId="0" borderId="10" xfId="106" applyFont="1" applyFill="1" applyBorder="1" applyAlignment="1">
      <alignment horizontal="center" vertical="center" wrapText="1"/>
    </xf>
    <xf numFmtId="186" fontId="13" fillId="0" borderId="10" xfId="106" applyNumberFormat="1" applyFont="1" applyFill="1" applyBorder="1" applyAlignment="1">
      <alignment horizontal="center" vertical="center" wrapText="1"/>
    </xf>
    <xf numFmtId="0" fontId="10" fillId="0" borderId="0" xfId="106" applyFont="1" applyFill="1" applyAlignment="1">
      <alignment vertical="center" wrapText="1"/>
    </xf>
    <xf numFmtId="0" fontId="14" fillId="0" borderId="10" xfId="106" applyFont="1" applyFill="1" applyBorder="1" applyAlignment="1">
      <alignment horizontal="center" vertical="center" wrapText="1"/>
    </xf>
    <xf numFmtId="0" fontId="14" fillId="0" borderId="10" xfId="106" applyFont="1" applyFill="1" applyBorder="1" applyAlignment="1">
      <alignment horizontal="left" vertical="center" wrapText="1"/>
    </xf>
    <xf numFmtId="0" fontId="15" fillId="0" borderId="10" xfId="106" applyFont="1" applyFill="1" applyBorder="1" applyAlignment="1">
      <alignment horizontal="center" vertical="center" wrapText="1"/>
    </xf>
    <xf numFmtId="181" fontId="14" fillId="0" borderId="10" xfId="106" applyNumberFormat="1" applyFont="1" applyFill="1" applyBorder="1" applyAlignment="1">
      <alignment horizontal="center" vertical="center" wrapText="1"/>
    </xf>
    <xf numFmtId="186" fontId="14" fillId="0" borderId="10" xfId="106" applyNumberFormat="1" applyFont="1" applyFill="1" applyBorder="1" applyAlignment="1">
      <alignment horizontal="right" vertical="center" wrapText="1"/>
    </xf>
    <xf numFmtId="0" fontId="11" fillId="0" borderId="0" xfId="106" applyFont="1" applyFill="1" applyAlignment="1">
      <alignment vertical="center" wrapText="1"/>
    </xf>
    <xf numFmtId="0" fontId="16" fillId="0" borderId="0" xfId="106" applyFont="1" applyFill="1" applyAlignment="1">
      <alignment vertical="center" wrapText="1"/>
    </xf>
    <xf numFmtId="186" fontId="17" fillId="0" borderId="10" xfId="106" applyNumberFormat="1" applyFont="1" applyFill="1" applyBorder="1" applyAlignment="1">
      <alignment horizontal="right" vertical="center" wrapText="1"/>
    </xf>
    <xf numFmtId="0" fontId="17" fillId="0" borderId="10" xfId="106" applyFont="1" applyFill="1" applyBorder="1" applyAlignment="1">
      <alignment horizontal="left" vertical="center" wrapText="1"/>
    </xf>
    <xf numFmtId="0" fontId="17" fillId="0" borderId="10" xfId="106" applyFont="1" applyFill="1" applyBorder="1" applyAlignment="1">
      <alignment horizontal="center" vertical="center" wrapText="1"/>
    </xf>
    <xf numFmtId="0" fontId="13" fillId="0" borderId="10" xfId="106" applyFont="1" applyFill="1" applyBorder="1" applyAlignment="1">
      <alignment horizontal="center" vertical="center"/>
    </xf>
    <xf numFmtId="186" fontId="13" fillId="0" borderId="10" xfId="106" applyNumberFormat="1" applyFont="1" applyFill="1" applyBorder="1" applyAlignment="1">
      <alignment horizontal="right" vertical="center"/>
    </xf>
    <xf numFmtId="0" fontId="18" fillId="0" borderId="10" xfId="106" applyFont="1" applyFill="1" applyBorder="1" applyAlignment="1">
      <alignment vertical="center"/>
    </xf>
    <xf numFmtId="0" fontId="19" fillId="3" borderId="0" xfId="106" applyFont="1" applyFill="1" applyAlignment="1">
      <alignment horizontal="left" vertical="center" wrapText="1"/>
    </xf>
    <xf numFmtId="0" fontId="19" fillId="3" borderId="0" xfId="106" applyFont="1" applyFill="1" applyAlignment="1">
      <alignment horizontal="left" vertical="center"/>
    </xf>
    <xf numFmtId="0" fontId="19" fillId="0" borderId="0" xfId="106" applyFont="1" applyFill="1" applyAlignment="1">
      <alignment horizontal="left" vertical="center"/>
    </xf>
    <xf numFmtId="186" fontId="19" fillId="3" borderId="0" xfId="106" applyNumberFormat="1" applyFont="1" applyFill="1" applyAlignment="1">
      <alignment horizontal="right" vertical="center"/>
    </xf>
    <xf numFmtId="0" fontId="6" fillId="0" borderId="0" xfId="106" applyFont="1" applyFill="1" applyAlignment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Book1" xfId="49"/>
    <cellStyle name="样式 1" xfId="50"/>
    <cellStyle name="说明文本" xfId="51"/>
    <cellStyle name="千位分隔[0] 2 3" xfId="52"/>
    <cellStyle name="千位分隔[0] 2" xfId="53"/>
    <cellStyle name="千位分隔 5" xfId="54"/>
    <cellStyle name="砯刽[0]_(RT)FT11" xfId="55"/>
    <cellStyle name="货币[0] 5" xfId="56"/>
    <cellStyle name="货币[0] 4" xfId="57"/>
    <cellStyle name="货币[0] 3" xfId="58"/>
    <cellStyle name="货币[0] 2 2" xfId="59"/>
    <cellStyle name="货币[0] 2" xfId="60"/>
    <cellStyle name="货币 2" xfId="61"/>
    <cellStyle name="好_作业助手" xfId="62"/>
    <cellStyle name="好_易成不染" xfId="63"/>
    <cellStyle name="好_易    家" xfId="64"/>
    <cellStyle name="砯刽_(RT)FT11" xfId="65"/>
    <cellStyle name="好_易    冠" xfId="66"/>
    <cellStyle name="好_石家庄万豪样板间清单" xfId="67"/>
    <cellStyle name="好_工作样表" xfId="68"/>
    <cellStyle name="好_东莞茂荣酒店报价" xfId="69"/>
    <cellStyle name="常规 9 2" xfId="70"/>
    <cellStyle name="常规 81" xfId="71"/>
    <cellStyle name="常规 76" xfId="72"/>
    <cellStyle name="常规 7" xfId="73"/>
    <cellStyle name="常规 71" xfId="74"/>
    <cellStyle name="常规 66" xfId="75"/>
    <cellStyle name="常规 9 2 3" xfId="76"/>
    <cellStyle name="常规 70" xfId="77"/>
    <cellStyle name="常规 65" xfId="78"/>
    <cellStyle name="常规 64" xfId="79"/>
    <cellStyle name="常规 63" xfId="80"/>
    <cellStyle name="常规 6" xfId="81"/>
    <cellStyle name="常规 62" xfId="82"/>
    <cellStyle name="常规 57" xfId="83"/>
    <cellStyle name="常规 61" xfId="84"/>
    <cellStyle name="常规 56" xfId="85"/>
    <cellStyle name="常规 60" xfId="86"/>
    <cellStyle name="常规 55" xfId="87"/>
    <cellStyle name="常规 53" xfId="88"/>
    <cellStyle name="常规 54" xfId="89"/>
    <cellStyle name="常规 49" xfId="90"/>
    <cellStyle name="常规 2 2 3" xfId="91"/>
    <cellStyle name="常规 47" xfId="92"/>
    <cellStyle name="常规 51" xfId="93"/>
    <cellStyle name="差_东莞茂荣酒店报价" xfId="94"/>
    <cellStyle name="常规 2 2 2" xfId="95"/>
    <cellStyle name="常规 46" xfId="96"/>
    <cellStyle name="常规 50" xfId="97"/>
    <cellStyle name="常规 45" xfId="98"/>
    <cellStyle name="常规 4_实木以待" xfId="99"/>
    <cellStyle name="40% - 强调文字颜色 2 3" xfId="100"/>
    <cellStyle name="常规 4 7 2" xfId="101"/>
    <cellStyle name="常规 4 7" xfId="102"/>
    <cellStyle name="貨幣_玻璃計算-2009" xfId="103"/>
    <cellStyle name="常规 4 4" xfId="104"/>
    <cellStyle name="常规 4 3 2" xfId="105"/>
    <cellStyle name="常规 10 2" xfId="106"/>
    <cellStyle name="常规 4 3" xfId="107"/>
    <cellStyle name="常规 4 15" xfId="108"/>
    <cellStyle name="差_工作样表" xfId="109"/>
    <cellStyle name="常规 4 12" xfId="110"/>
    <cellStyle name="货币[0] 6" xfId="111"/>
    <cellStyle name="常规 4 8 2" xfId="112"/>
    <cellStyle name="常规 4 10" xfId="113"/>
    <cellStyle name="常规 3 6 2" xfId="114"/>
    <cellStyle name="常规 3 6" xfId="115"/>
    <cellStyle name="常规 3 5" xfId="116"/>
    <cellStyle name="常规 3 3 2" xfId="117"/>
    <cellStyle name="常规 3 3" xfId="118"/>
    <cellStyle name="常规 3 2" xfId="119"/>
    <cellStyle name="常规 31" xfId="120"/>
    <cellStyle name="常规 26" xfId="121"/>
    <cellStyle name="常规 2 2 3 4 2" xfId="122"/>
    <cellStyle name="常规 30" xfId="123"/>
    <cellStyle name="常规 25" xfId="124"/>
    <cellStyle name="无色" xfId="125"/>
    <cellStyle name="常规 10" xfId="126"/>
    <cellStyle name="常规 24 2" xfId="127"/>
    <cellStyle name="常规 2 5 2" xfId="128"/>
    <cellStyle name="常规 2 5" xfId="129"/>
    <cellStyle name="RowLevel_0" xfId="130"/>
    <cellStyle name="常规 2 3 8" xfId="131"/>
    <cellStyle name="常规 2 3 7" xfId="132"/>
    <cellStyle name="常规 2 3 5" xfId="133"/>
    <cellStyle name="常规 2 3 4" xfId="134"/>
    <cellStyle name="常规 2 4" xfId="135"/>
    <cellStyle name="常规 2 3 2 4 3 2" xfId="136"/>
    <cellStyle name="常规 32" xfId="137"/>
    <cellStyle name="常规 27" xfId="138"/>
    <cellStyle name="0,0_x000d__x000a_NA_x000d__x000a_" xfId="139"/>
    <cellStyle name="常规 2 3 2 4 2" xfId="140"/>
    <cellStyle name="超链接 2" xfId="141"/>
    <cellStyle name="常规 2 3 2 4" xfId="142"/>
    <cellStyle name="常规 3" xfId="143"/>
    <cellStyle name="常规 2 7" xfId="144"/>
    <cellStyle name="常规 9" xfId="145"/>
    <cellStyle name="常规 2 3 2 3" xfId="146"/>
    <cellStyle name="常规 2" xfId="147"/>
    <cellStyle name="常规 2 6" xfId="148"/>
    <cellStyle name="常规 8" xfId="149"/>
    <cellStyle name="常规 2 3 2 2" xfId="150"/>
    <cellStyle name="常规 2 3 2" xfId="151"/>
    <cellStyle name="常规 12" xfId="152"/>
    <cellStyle name="常规 2 3 10" xfId="153"/>
    <cellStyle name="常规 2 3" xfId="154"/>
    <cellStyle name="常规 2 2 3 5" xfId="155"/>
    <cellStyle name="常规 2 2 3 3 5 2" xfId="156"/>
    <cellStyle name="常规 2 2 3 3 5" xfId="157"/>
    <cellStyle name="常规 2 2 3 3 4" xfId="158"/>
    <cellStyle name="常规 2 2 3 3 3" xfId="159"/>
    <cellStyle name="常规 2 2 3 3 2" xfId="160"/>
    <cellStyle name="百分比 2 2" xfId="161"/>
    <cellStyle name="常规 2 2 3 3" xfId="162"/>
    <cellStyle name="常规 3_成都陈总选的活动家具报价" xfId="163"/>
    <cellStyle name="常规 24" xfId="164"/>
    <cellStyle name="常规 19" xfId="165"/>
    <cellStyle name="常规 22" xfId="166"/>
    <cellStyle name="常规 17" xfId="167"/>
    <cellStyle name="常规 21" xfId="168"/>
    <cellStyle name="常规 16" xfId="169"/>
    <cellStyle name="常规 20" xfId="170"/>
    <cellStyle name="常规 15" xfId="171"/>
    <cellStyle name="常规 14 2 2" xfId="172"/>
    <cellStyle name="常规 2 3 11" xfId="173"/>
    <cellStyle name="常规 13" xfId="174"/>
    <cellStyle name="常规 2 3 8 2" xfId="175"/>
    <cellStyle name="常规 2 3 3" xfId="176"/>
    <cellStyle name="差_石家庄万豪样板间清单" xfId="177"/>
    <cellStyle name="常规 11_上海花园二期B区工程各户型汇总-大货-最新" xfId="178"/>
    <cellStyle name="差_作业助手" xfId="179"/>
    <cellStyle name="千位分隔[0] 2 2" xfId="180"/>
    <cellStyle name="差_易    家" xfId="181"/>
    <cellStyle name="常规 4 9" xfId="182"/>
    <cellStyle name="常规 14" xfId="183"/>
    <cellStyle name="百分比 5 2" xfId="184"/>
    <cellStyle name="差_连捷安溪VIP温泉2#楼别墅_100827" xfId="185"/>
    <cellStyle name="常规 2 3 6" xfId="186"/>
    <cellStyle name="差_居家必备" xfId="187"/>
    <cellStyle name="差_居家常备" xfId="188"/>
    <cellStyle name="常规 3 2 2" xfId="189"/>
    <cellStyle name="百分比 4" xfId="190"/>
    <cellStyle name="常规 2 3 9 2" xfId="191"/>
    <cellStyle name="常规 2 3 9" xfId="192"/>
    <cellStyle name="百分比 2" xfId="193"/>
    <cellStyle name="常规 18" xfId="194"/>
    <cellStyle name="常规 23" xfId="195"/>
    <cellStyle name="_14250(1)" xfId="196"/>
    <cellStyle name="好_居家常备" xfId="197"/>
    <cellStyle name="好_居家必备" xfId="198"/>
    <cellStyle name="常规 11" xfId="199"/>
    <cellStyle name="Undefiniert" xfId="200"/>
    <cellStyle name="A4 Small 210 x 297 mm" xfId="201"/>
    <cellStyle name="40% - 强调文字颜色 2 2 2" xfId="202"/>
    <cellStyle name="40% - 强调文字颜色 2 2" xfId="203"/>
    <cellStyle name="超链接 3" xfId="204"/>
    <cellStyle name="差_连捷安溪VIP温泉3#楼别墅_100827（220方）" xfId="205"/>
    <cellStyle name="常规 41" xfId="206"/>
    <cellStyle name="常规 36" xfId="207"/>
    <cellStyle name="_报价参考" xfId="208"/>
    <cellStyle name="常规 2 2 2 3" xfId="209"/>
    <cellStyle name="常规 75" xfId="210"/>
    <cellStyle name="_组价分析" xfId="211"/>
    <cellStyle name="百分比 3" xfId="212"/>
    <cellStyle name="_ET_STYLE_NoName_00_" xfId="213"/>
    <cellStyle name="常规 38" xfId="214"/>
    <cellStyle name="常规 2 2 2 5" xfId="215"/>
    <cellStyle name="千位分隔 3" xfId="216"/>
    <cellStyle name="常规 35" xfId="217"/>
    <cellStyle name="常规 2 2 2 2" xfId="218"/>
    <cellStyle name="常规 2_1" xfId="219"/>
    <cellStyle name="常规 4 2" xfId="220"/>
    <cellStyle name="千位分隔[0] 4 2" xfId="221"/>
    <cellStyle name="常规 11 2 2" xfId="222"/>
    <cellStyle name="常规 34" xfId="223"/>
    <cellStyle name="常规 29" xfId="224"/>
    <cellStyle name="常规 2 3 2 4 4" xfId="225"/>
    <cellStyle name="常规 42" xfId="226"/>
    <cellStyle name="常规 37" xfId="227"/>
    <cellStyle name="千位分隔 2" xfId="228"/>
    <cellStyle name="千位分隔 4" xfId="229"/>
    <cellStyle name="常规 14 2" xfId="230"/>
    <cellStyle name="常规 2 3 12 2" xfId="231"/>
    <cellStyle name="千位分隔[0] 3" xfId="232"/>
    <cellStyle name="常规 5 2" xfId="233"/>
    <cellStyle name="常规 39" xfId="234"/>
    <cellStyle name="常规 44" xfId="235"/>
    <cellStyle name="差_易成不染" xfId="236"/>
    <cellStyle name="常规 2 2 3 2" xfId="237"/>
    <cellStyle name="40% - 强调文字颜色 2 4" xfId="238"/>
    <cellStyle name="常规 33" xfId="239"/>
    <cellStyle name="常规 28" xfId="240"/>
    <cellStyle name="常规 2 3 2 4 3" xfId="241"/>
    <cellStyle name="常规 2 2" xfId="242"/>
    <cellStyle name="常规 4 5" xfId="243"/>
    <cellStyle name="百分比 5" xfId="244"/>
    <cellStyle name="货币[0] 5 2" xfId="245"/>
    <cellStyle name="好_连捷安溪VIP温泉2#楼别墅_100827" xfId="246"/>
    <cellStyle name="常规 4" xfId="247"/>
    <cellStyle name="千位分隔[0] 4" xfId="248"/>
    <cellStyle name="常规 5 3" xfId="249"/>
    <cellStyle name="常规 11 2" xfId="250"/>
    <cellStyle name="差_易    冠" xfId="251"/>
    <cellStyle name="好_连捷安溪VIP温泉3#楼别墅_100827（220方）" xfId="252"/>
    <cellStyle name="常规 4 8" xfId="253"/>
    <cellStyle name="常规 3 4" xfId="254"/>
    <cellStyle name="ColLevel_0" xfId="255"/>
    <cellStyle name="常规 2 2 3 4" xfId="256"/>
    <cellStyle name="_花都喜来登明细表111" xfId="257"/>
    <cellStyle name="常规 4 6" xfId="258"/>
    <cellStyle name="千分位_玻璃計算-2009" xfId="259"/>
    <cellStyle name="常规 5" xfId="260"/>
    <cellStyle name="常规 11 3" xfId="26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8.png"/><Relationship Id="rId8" Type="http://schemas.openxmlformats.org/officeDocument/2006/relationships/image" Target="media/image17.png"/><Relationship Id="rId7" Type="http://schemas.openxmlformats.org/officeDocument/2006/relationships/image" Target="media/image16.png"/><Relationship Id="rId63" Type="http://schemas.openxmlformats.org/officeDocument/2006/relationships/image" Target="media/image71.png"/><Relationship Id="rId62" Type="http://schemas.openxmlformats.org/officeDocument/2006/relationships/image" Target="media/image70.png"/><Relationship Id="rId61" Type="http://schemas.openxmlformats.org/officeDocument/2006/relationships/image" Target="media/image69.png"/><Relationship Id="rId60" Type="http://schemas.openxmlformats.org/officeDocument/2006/relationships/image" Target="media/image68.png"/><Relationship Id="rId6" Type="http://schemas.openxmlformats.org/officeDocument/2006/relationships/image" Target="media/image15.png"/><Relationship Id="rId59" Type="http://schemas.openxmlformats.org/officeDocument/2006/relationships/image" Target="media/image67.png"/><Relationship Id="rId58" Type="http://schemas.openxmlformats.org/officeDocument/2006/relationships/image" Target="media/image66.png"/><Relationship Id="rId57" Type="http://schemas.openxmlformats.org/officeDocument/2006/relationships/image" Target="media/image65.png"/><Relationship Id="rId56" Type="http://schemas.openxmlformats.org/officeDocument/2006/relationships/image" Target="media/image64.png"/><Relationship Id="rId55" Type="http://schemas.openxmlformats.org/officeDocument/2006/relationships/image" Target="media/image63.png"/><Relationship Id="rId54" Type="http://schemas.openxmlformats.org/officeDocument/2006/relationships/image" Target="media/image3.png"/><Relationship Id="rId53" Type="http://schemas.openxmlformats.org/officeDocument/2006/relationships/image" Target="media/image62.png"/><Relationship Id="rId52" Type="http://schemas.openxmlformats.org/officeDocument/2006/relationships/image" Target="media/image61.png"/><Relationship Id="rId51" Type="http://schemas.openxmlformats.org/officeDocument/2006/relationships/image" Target="media/image60.png"/><Relationship Id="rId50" Type="http://schemas.openxmlformats.org/officeDocument/2006/relationships/image" Target="media/image59.png"/><Relationship Id="rId5" Type="http://schemas.openxmlformats.org/officeDocument/2006/relationships/image" Target="media/image14.png"/><Relationship Id="rId49" Type="http://schemas.openxmlformats.org/officeDocument/2006/relationships/image" Target="media/image58.png"/><Relationship Id="rId48" Type="http://schemas.openxmlformats.org/officeDocument/2006/relationships/image" Target="media/image57.png"/><Relationship Id="rId47" Type="http://schemas.openxmlformats.org/officeDocument/2006/relationships/image" Target="media/image56.png"/><Relationship Id="rId46" Type="http://schemas.openxmlformats.org/officeDocument/2006/relationships/image" Target="media/image55.png"/><Relationship Id="rId45" Type="http://schemas.openxmlformats.org/officeDocument/2006/relationships/image" Target="media/image54.png"/><Relationship Id="rId44" Type="http://schemas.openxmlformats.org/officeDocument/2006/relationships/image" Target="media/image53.png"/><Relationship Id="rId43" Type="http://schemas.openxmlformats.org/officeDocument/2006/relationships/image" Target="media/image52.png"/><Relationship Id="rId42" Type="http://schemas.openxmlformats.org/officeDocument/2006/relationships/image" Target="media/image51.png"/><Relationship Id="rId41" Type="http://schemas.openxmlformats.org/officeDocument/2006/relationships/image" Target="media/image50.png"/><Relationship Id="rId40" Type="http://schemas.openxmlformats.org/officeDocument/2006/relationships/image" Target="media/image49.png"/><Relationship Id="rId4" Type="http://schemas.openxmlformats.org/officeDocument/2006/relationships/image" Target="media/image13.png"/><Relationship Id="rId39" Type="http://schemas.openxmlformats.org/officeDocument/2006/relationships/image" Target="media/image48.png"/><Relationship Id="rId38" Type="http://schemas.openxmlformats.org/officeDocument/2006/relationships/image" Target="media/image47.png"/><Relationship Id="rId37" Type="http://schemas.openxmlformats.org/officeDocument/2006/relationships/image" Target="media/image46.png"/><Relationship Id="rId36" Type="http://schemas.openxmlformats.org/officeDocument/2006/relationships/image" Target="media/image45.png"/><Relationship Id="rId35" Type="http://schemas.openxmlformats.org/officeDocument/2006/relationships/image" Target="media/image44.png"/><Relationship Id="rId34" Type="http://schemas.openxmlformats.org/officeDocument/2006/relationships/image" Target="media/image43.png"/><Relationship Id="rId33" Type="http://schemas.openxmlformats.org/officeDocument/2006/relationships/image" Target="media/image42.png"/><Relationship Id="rId32" Type="http://schemas.openxmlformats.org/officeDocument/2006/relationships/image" Target="media/image41.png"/><Relationship Id="rId31" Type="http://schemas.openxmlformats.org/officeDocument/2006/relationships/image" Target="media/image40.png"/><Relationship Id="rId30" Type="http://schemas.openxmlformats.org/officeDocument/2006/relationships/image" Target="media/image39.png"/><Relationship Id="rId3" Type="http://schemas.openxmlformats.org/officeDocument/2006/relationships/image" Target="media/image12.png"/><Relationship Id="rId29" Type="http://schemas.openxmlformats.org/officeDocument/2006/relationships/image" Target="media/image38.png"/><Relationship Id="rId28" Type="http://schemas.openxmlformats.org/officeDocument/2006/relationships/image" Target="media/image37.png"/><Relationship Id="rId27" Type="http://schemas.openxmlformats.org/officeDocument/2006/relationships/image" Target="media/image36.png"/><Relationship Id="rId26" Type="http://schemas.openxmlformats.org/officeDocument/2006/relationships/image" Target="media/image35.png"/><Relationship Id="rId25" Type="http://schemas.openxmlformats.org/officeDocument/2006/relationships/image" Target="media/image34.png"/><Relationship Id="rId24" Type="http://schemas.openxmlformats.org/officeDocument/2006/relationships/image" Target="media/image33.png"/><Relationship Id="rId23" Type="http://schemas.openxmlformats.org/officeDocument/2006/relationships/image" Target="media/image32.png"/><Relationship Id="rId22" Type="http://schemas.openxmlformats.org/officeDocument/2006/relationships/image" Target="media/image31.png"/><Relationship Id="rId21" Type="http://schemas.openxmlformats.org/officeDocument/2006/relationships/image" Target="media/image30.png"/><Relationship Id="rId20" Type="http://schemas.openxmlformats.org/officeDocument/2006/relationships/image" Target="media/image29.png"/><Relationship Id="rId2" Type="http://schemas.openxmlformats.org/officeDocument/2006/relationships/image" Target="media/image11.png"/><Relationship Id="rId19" Type="http://schemas.openxmlformats.org/officeDocument/2006/relationships/image" Target="media/image28.png"/><Relationship Id="rId18" Type="http://schemas.openxmlformats.org/officeDocument/2006/relationships/image" Target="media/image27.png"/><Relationship Id="rId17" Type="http://schemas.openxmlformats.org/officeDocument/2006/relationships/image" Target="media/image26.png"/><Relationship Id="rId16" Type="http://schemas.openxmlformats.org/officeDocument/2006/relationships/image" Target="media/image25.png"/><Relationship Id="rId15" Type="http://schemas.openxmlformats.org/officeDocument/2006/relationships/image" Target="media/image24.png"/><Relationship Id="rId14" Type="http://schemas.openxmlformats.org/officeDocument/2006/relationships/image" Target="media/image23.png"/><Relationship Id="rId13" Type="http://schemas.openxmlformats.org/officeDocument/2006/relationships/image" Target="media/image22.png"/><Relationship Id="rId12" Type="http://schemas.openxmlformats.org/officeDocument/2006/relationships/image" Target="media/image21.png"/><Relationship Id="rId11" Type="http://schemas.openxmlformats.org/officeDocument/2006/relationships/image" Target="media/image20.png"/><Relationship Id="rId10" Type="http://schemas.openxmlformats.org/officeDocument/2006/relationships/image" Target="media/image19.png"/><Relationship Id="rId1" Type="http://schemas.openxmlformats.org/officeDocument/2006/relationships/image" Target="media/image10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362902</xdr:colOff>
      <xdr:row>28</xdr:row>
      <xdr:rowOff>385603</xdr:rowOff>
    </xdr:from>
    <xdr:to>
      <xdr:col>6</xdr:col>
      <xdr:colOff>1133792</xdr:colOff>
      <xdr:row>28</xdr:row>
      <xdr:rowOff>385603</xdr:rowOff>
    </xdr:to>
    <xdr:pic>
      <xdr:nvPicPr>
        <xdr:cNvPr id="10" name="ID_97DBB72BE5A94C8F83C24391066036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51083845"/>
          <a:ext cx="770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362902</xdr:colOff>
      <xdr:row>30</xdr:row>
      <xdr:rowOff>385603</xdr:rowOff>
    </xdr:from>
    <xdr:to>
      <xdr:col>6</xdr:col>
      <xdr:colOff>1133792</xdr:colOff>
      <xdr:row>30</xdr:row>
      <xdr:rowOff>385603</xdr:rowOff>
    </xdr:to>
    <xdr:pic>
      <xdr:nvPicPr>
        <xdr:cNvPr id="30" name="ID_97DBB72BE5A94C8F83C24391066036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54893845"/>
          <a:ext cx="770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362902</xdr:colOff>
      <xdr:row>31</xdr:row>
      <xdr:rowOff>385603</xdr:rowOff>
    </xdr:from>
    <xdr:to>
      <xdr:col>6</xdr:col>
      <xdr:colOff>1133792</xdr:colOff>
      <xdr:row>31</xdr:row>
      <xdr:rowOff>385603</xdr:rowOff>
    </xdr:to>
    <xdr:pic>
      <xdr:nvPicPr>
        <xdr:cNvPr id="41" name="ID_97DBB72BE5A94C8F83C24391066036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56798845"/>
          <a:ext cx="770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362902</xdr:colOff>
      <xdr:row>33</xdr:row>
      <xdr:rowOff>385603</xdr:rowOff>
    </xdr:from>
    <xdr:to>
      <xdr:col>6</xdr:col>
      <xdr:colOff>1133792</xdr:colOff>
      <xdr:row>33</xdr:row>
      <xdr:rowOff>385603</xdr:rowOff>
    </xdr:to>
    <xdr:pic>
      <xdr:nvPicPr>
        <xdr:cNvPr id="60" name="ID_97DBB72BE5A94C8F83C24391066036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60608845"/>
          <a:ext cx="770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220980</xdr:colOff>
      <xdr:row>17</xdr:row>
      <xdr:rowOff>128270</xdr:rowOff>
    </xdr:from>
    <xdr:to>
      <xdr:col>5</xdr:col>
      <xdr:colOff>1709420</xdr:colOff>
      <xdr:row>18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02575" y="29871670"/>
          <a:ext cx="1488440" cy="337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1965325</xdr:colOff>
      <xdr:row>17</xdr:row>
      <xdr:rowOff>1301750</xdr:rowOff>
    </xdr:from>
    <xdr:to>
      <xdr:col>5</xdr:col>
      <xdr:colOff>3863975</xdr:colOff>
      <xdr:row>18</xdr:row>
      <xdr:rowOff>1521460</xdr:rowOff>
    </xdr:to>
    <xdr:pic>
      <xdr:nvPicPr>
        <xdr:cNvPr id="3" name="ID_16ED393698BF4AB6B2D1BDD0EB4470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46920" y="31045150"/>
          <a:ext cx="189865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1595755</xdr:colOff>
      <xdr:row>39</xdr:row>
      <xdr:rowOff>1249045</xdr:rowOff>
    </xdr:from>
    <xdr:to>
      <xdr:col>6</xdr:col>
      <xdr:colOff>0</xdr:colOff>
      <xdr:row>40</xdr:row>
      <xdr:rowOff>859155</xdr:rowOff>
    </xdr:to>
    <xdr:pic>
      <xdr:nvPicPr>
        <xdr:cNvPr id="95" name="ID_2B99708F0F9F48239C624908AF7192F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7350" y="72902445"/>
          <a:ext cx="2863850" cy="151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173990</xdr:colOff>
      <xdr:row>39</xdr:row>
      <xdr:rowOff>76200</xdr:rowOff>
    </xdr:from>
    <xdr:to>
      <xdr:col>5</xdr:col>
      <xdr:colOff>1403985</xdr:colOff>
      <xdr:row>40</xdr:row>
      <xdr:rowOff>1568450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55585" y="71729600"/>
          <a:ext cx="1229995" cy="339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1935480</xdr:colOff>
      <xdr:row>38</xdr:row>
      <xdr:rowOff>1405255</xdr:rowOff>
    </xdr:from>
    <xdr:to>
      <xdr:col>5</xdr:col>
      <xdr:colOff>4401185</xdr:colOff>
      <xdr:row>39</xdr:row>
      <xdr:rowOff>695325</xdr:rowOff>
    </xdr:to>
    <xdr:pic>
      <xdr:nvPicPr>
        <xdr:cNvPr id="94" name="ID_043D9892F9F046B59F2103D2ADAF25D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17075" y="71153655"/>
          <a:ext cx="2465705" cy="1195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99695</xdr:colOff>
      <xdr:row>38</xdr:row>
      <xdr:rowOff>391160</xdr:rowOff>
    </xdr:from>
    <xdr:to>
      <xdr:col>5</xdr:col>
      <xdr:colOff>1851660</xdr:colOff>
      <xdr:row>39</xdr:row>
      <xdr:rowOff>1178560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81290" y="70139560"/>
          <a:ext cx="1751965" cy="269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1845310</xdr:colOff>
      <xdr:row>37</xdr:row>
      <xdr:rowOff>1075690</xdr:rowOff>
    </xdr:from>
    <xdr:to>
      <xdr:col>5</xdr:col>
      <xdr:colOff>4254500</xdr:colOff>
      <xdr:row>38</xdr:row>
      <xdr:rowOff>936625</xdr:rowOff>
    </xdr:to>
    <xdr:pic>
      <xdr:nvPicPr>
        <xdr:cNvPr id="93" name="ID_5C23D55850E74B0D8A341E52267BEF4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6905" y="68919090"/>
          <a:ext cx="2409190" cy="176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367030</xdr:colOff>
      <xdr:row>37</xdr:row>
      <xdr:rowOff>221615</xdr:rowOff>
    </xdr:from>
    <xdr:to>
      <xdr:col>5</xdr:col>
      <xdr:colOff>1522730</xdr:colOff>
      <xdr:row>38</xdr:row>
      <xdr:rowOff>1521460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48625" y="68065015"/>
          <a:ext cx="1155700" cy="320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362902</xdr:colOff>
      <xdr:row>32</xdr:row>
      <xdr:rowOff>385603</xdr:rowOff>
    </xdr:from>
    <xdr:to>
      <xdr:col>6</xdr:col>
      <xdr:colOff>1133792</xdr:colOff>
      <xdr:row>32</xdr:row>
      <xdr:rowOff>385603</xdr:rowOff>
    </xdr:to>
    <xdr:pic>
      <xdr:nvPicPr>
        <xdr:cNvPr id="5" name="ID_97DBB72BE5A94C8F83C24391066036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3785" y="58703845"/>
          <a:ext cx="77089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liufang1\Local%20Settings\Temporary%20Internet%20Files\OLK55\&#39532;&#23071;&#24102;&#36208;\&#27784;&#38451;&#25104;&#26412;\&#38738;&#23707;&#22025;&#24180;&#21326;2010.10.18\&#25991;&#23383;\&#38472;&#20806;&#28949;2009\&#22825;&#27941;&#28207;&#20844;&#23433;&#23616;\&#38472;&#20806;&#28949;2008\&#26149;&#20445;&#38056;&#38050;\081010&#24037;&#31243;&#373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liufang1\Local%20Settings\Temporary%20Internet%20Files\OLK55\&#39532;&#23071;&#24102;&#36208;\&#27784;&#38451;&#25104;&#26412;\&#38738;&#23707;&#22025;&#24180;&#21326;2010.10.18\&#25991;&#23383;\2008\&#22823;&#20016;&#36335;\08.05.30&#26041;&#26696;\080604&#22823;&#20016;&#36335;&#39044;&#31639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材料"/>
      <sheetName val="单价表"/>
      <sheetName val="工程量计算"/>
      <sheetName val="Sheet1"/>
      <sheetName val="雨棚"/>
      <sheetName val="变量单"/>
      <sheetName val="改加胶玻璃、室外栏杆"/>
      <sheetName val="XLR_NoRangeSheet"/>
      <sheetName val="資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变量单"/>
      <sheetName val="单价表"/>
      <sheetName val="改加胶玻璃、室外栏杆"/>
      <sheetName val="MOHKG"/>
      <sheetName val="材料"/>
      <sheetName val="工程量计算"/>
      <sheetName val="ANL"/>
      <sheetName val="材料单价表"/>
      <sheetName val="Sheet1"/>
      <sheetName val="裙房"/>
      <sheetName val="明细表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XLR_NoRangeSheet"/>
      <sheetName val="T14#保温"/>
      <sheetName val="T14#石材"/>
      <sheetName val="T14#涂料"/>
      <sheetName val="資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83"/>
  <sheetViews>
    <sheetView tabSelected="1" view="pageBreakPreview" zoomScale="70" zoomScaleNormal="70" workbookViewId="0">
      <selection activeCell="F60" sqref="F60"/>
    </sheetView>
  </sheetViews>
  <sheetFormatPr defaultColWidth="9" defaultRowHeight="13.5"/>
  <cols>
    <col min="1" max="1" width="7.35" style="67" customWidth="1"/>
    <col min="2" max="2" width="18.3833333333333" style="67" customWidth="1"/>
    <col min="3" max="3" width="15" style="68" customWidth="1"/>
    <col min="4" max="4" width="38.075" style="69" customWidth="1"/>
    <col min="5" max="5" width="22" style="69" customWidth="1"/>
    <col min="6" max="6" width="58.525" style="67" customWidth="1"/>
    <col min="7" max="7" width="18.075" style="67" customWidth="1"/>
    <col min="8" max="8" width="5.75" style="67" customWidth="1"/>
    <col min="9" max="9" width="11.5" style="67" customWidth="1"/>
    <col min="10" max="11" width="15.625" style="70" customWidth="1"/>
    <col min="12" max="12" width="15.625" style="71" customWidth="1"/>
    <col min="13" max="221" width="8" style="67" customWidth="1"/>
    <col min="222" max="16378" width="7.75" style="67"/>
    <col min="16379" max="16384" width="9" style="67"/>
  </cols>
  <sheetData>
    <row r="1" s="62" customFormat="1" ht="49" customHeight="1" spans="1:22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3"/>
      <c r="K1" s="73"/>
      <c r="L1" s="72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</row>
    <row r="2" s="63" customFormat="1" ht="43" customHeight="1" spans="1:222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6" t="s">
        <v>10</v>
      </c>
      <c r="K2" s="76" t="s">
        <v>11</v>
      </c>
      <c r="L2" s="75" t="s">
        <v>12</v>
      </c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</row>
    <row r="3" s="64" customFormat="1" ht="150" customHeight="1" spans="1:222">
      <c r="A3" s="78">
        <v>1</v>
      </c>
      <c r="B3" s="78" t="s">
        <v>13</v>
      </c>
      <c r="C3" s="78" t="s">
        <v>14</v>
      </c>
      <c r="D3" s="79" t="s">
        <v>15</v>
      </c>
      <c r="E3" s="78" t="s">
        <v>16</v>
      </c>
      <c r="F3" s="78" t="str">
        <f>_xlfn.DISPIMG("ID_F5BC50E7A482498FA01CBC7052CD394A",1)</f>
        <v>=DISPIMG("ID_F5BC50E7A482498FA01CBC7052CD394A",1)</v>
      </c>
      <c r="G3" s="78"/>
      <c r="H3" s="80" t="s">
        <v>17</v>
      </c>
      <c r="I3" s="81">
        <v>69.3</v>
      </c>
      <c r="J3" s="82"/>
      <c r="K3" s="82">
        <f>J3*I3</f>
        <v>0</v>
      </c>
      <c r="L3" s="79" t="s">
        <v>18</v>
      </c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</row>
    <row r="4" s="64" customFormat="1" ht="150" customHeight="1" spans="1:222">
      <c r="A4" s="78">
        <v>2</v>
      </c>
      <c r="B4" s="78" t="s">
        <v>13</v>
      </c>
      <c r="C4" s="78" t="s">
        <v>19</v>
      </c>
      <c r="D4" s="79" t="s">
        <v>15</v>
      </c>
      <c r="E4" s="78" t="s">
        <v>16</v>
      </c>
      <c r="F4" s="78" t="str">
        <f>_xlfn.DISPIMG("ID_77E91AB2668E4501AB980C0E5C5E5FBC",1)</f>
        <v>=DISPIMG("ID_77E91AB2668E4501AB980C0E5C5E5FBC",1)</v>
      </c>
      <c r="G4" s="78"/>
      <c r="H4" s="80" t="s">
        <v>17</v>
      </c>
      <c r="I4" s="81">
        <v>3.9</v>
      </c>
      <c r="J4" s="82"/>
      <c r="K4" s="82">
        <f t="shared" ref="K4:K35" si="0">J4*I4</f>
        <v>0</v>
      </c>
      <c r="L4" s="79" t="s">
        <v>18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</row>
    <row r="5" s="64" customFormat="1" ht="150" customHeight="1" spans="1:222">
      <c r="A5" s="78">
        <v>3</v>
      </c>
      <c r="B5" s="78" t="s">
        <v>13</v>
      </c>
      <c r="C5" s="78" t="s">
        <v>19</v>
      </c>
      <c r="D5" s="79" t="s">
        <v>20</v>
      </c>
      <c r="E5" s="78" t="s">
        <v>16</v>
      </c>
      <c r="F5" s="78" t="str">
        <f>_xlfn.DISPIMG("ID_F23C3A6AD20740459875E4B7B886829D",1)</f>
        <v>=DISPIMG("ID_F23C3A6AD20740459875E4B7B886829D",1)</v>
      </c>
      <c r="G5" s="78"/>
      <c r="H5" s="80" t="s">
        <v>17</v>
      </c>
      <c r="I5" s="81">
        <v>13.5</v>
      </c>
      <c r="J5" s="82"/>
      <c r="K5" s="82">
        <f t="shared" si="0"/>
        <v>0</v>
      </c>
      <c r="L5" s="79" t="s">
        <v>21</v>
      </c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</row>
    <row r="6" s="64" customFormat="1" ht="150" customHeight="1" spans="1:222">
      <c r="A6" s="78">
        <v>4</v>
      </c>
      <c r="B6" s="78" t="s">
        <v>13</v>
      </c>
      <c r="C6" s="78" t="s">
        <v>22</v>
      </c>
      <c r="D6" s="79" t="s">
        <v>23</v>
      </c>
      <c r="E6" s="78" t="s">
        <v>16</v>
      </c>
      <c r="F6" s="78" t="str">
        <f>_xlfn.DISPIMG("ID_02D7267CD0D54DDE98DF559256DB468A",1)</f>
        <v>=DISPIMG("ID_02D7267CD0D54DDE98DF559256DB468A",1)</v>
      </c>
      <c r="G6" s="78"/>
      <c r="H6" s="80" t="s">
        <v>17</v>
      </c>
      <c r="I6" s="81">
        <v>19.8</v>
      </c>
      <c r="J6" s="82"/>
      <c r="K6" s="82">
        <f t="shared" si="0"/>
        <v>0</v>
      </c>
      <c r="L6" s="79" t="s">
        <v>18</v>
      </c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</row>
    <row r="7" s="64" customFormat="1" ht="150" customHeight="1" spans="1:222">
      <c r="A7" s="78">
        <v>5</v>
      </c>
      <c r="B7" s="78" t="s">
        <v>13</v>
      </c>
      <c r="C7" s="78" t="s">
        <v>22</v>
      </c>
      <c r="D7" s="79" t="s">
        <v>23</v>
      </c>
      <c r="E7" s="78" t="s">
        <v>16</v>
      </c>
      <c r="F7" s="78" t="str">
        <f>_xlfn.DISPIMG("ID_F11FCBDC69FF4AF1A0B2CC5DB1C8B6BF",1)</f>
        <v>=DISPIMG("ID_F11FCBDC69FF4AF1A0B2CC5DB1C8B6BF",1)</v>
      </c>
      <c r="G7" s="78"/>
      <c r="H7" s="80" t="s">
        <v>17</v>
      </c>
      <c r="I7" s="81">
        <v>17.1</v>
      </c>
      <c r="J7" s="82"/>
      <c r="K7" s="82">
        <f t="shared" si="0"/>
        <v>0</v>
      </c>
      <c r="L7" s="79" t="s">
        <v>18</v>
      </c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</row>
    <row r="8" s="64" customFormat="1" ht="150" customHeight="1" spans="1:222">
      <c r="A8" s="78">
        <v>6</v>
      </c>
      <c r="B8" s="78" t="s">
        <v>24</v>
      </c>
      <c r="C8" s="78" t="s">
        <v>25</v>
      </c>
      <c r="D8" s="79" t="s">
        <v>26</v>
      </c>
      <c r="E8" s="78" t="s">
        <v>16</v>
      </c>
      <c r="F8" s="78" t="str">
        <f>_xlfn.DISPIMG("ID_486531EEAAC14AED8A9D24DE93019EE0",1)</f>
        <v>=DISPIMG("ID_486531EEAAC14AED8A9D24DE93019EE0",1)</v>
      </c>
      <c r="G8" s="78"/>
      <c r="H8" s="80" t="s">
        <v>17</v>
      </c>
      <c r="I8" s="81">
        <v>8.1</v>
      </c>
      <c r="J8" s="82"/>
      <c r="K8" s="82">
        <f t="shared" si="0"/>
        <v>0</v>
      </c>
      <c r="L8" s="79" t="s">
        <v>18</v>
      </c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</row>
    <row r="9" s="64" customFormat="1" ht="150" customHeight="1" spans="1:222">
      <c r="A9" s="78">
        <v>7</v>
      </c>
      <c r="B9" s="78" t="s">
        <v>13</v>
      </c>
      <c r="C9" s="78" t="s">
        <v>27</v>
      </c>
      <c r="D9" s="79" t="s">
        <v>23</v>
      </c>
      <c r="E9" s="78" t="s">
        <v>16</v>
      </c>
      <c r="F9" s="78" t="str">
        <f>_xlfn.DISPIMG("ID_9D4F9A38FB694463849289562B99BB2A",1)</f>
        <v>=DISPIMG("ID_9D4F9A38FB694463849289562B99BB2A",1)</v>
      </c>
      <c r="G9" s="78"/>
      <c r="H9" s="80" t="s">
        <v>17</v>
      </c>
      <c r="I9" s="81">
        <v>3.6</v>
      </c>
      <c r="J9" s="82"/>
      <c r="K9" s="82">
        <f t="shared" si="0"/>
        <v>0</v>
      </c>
      <c r="L9" s="79" t="s">
        <v>18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</row>
    <row r="10" s="64" customFormat="1" ht="150" customHeight="1" spans="1:222">
      <c r="A10" s="78">
        <v>8</v>
      </c>
      <c r="B10" s="78" t="s">
        <v>13</v>
      </c>
      <c r="C10" s="78" t="s">
        <v>27</v>
      </c>
      <c r="D10" s="79" t="s">
        <v>28</v>
      </c>
      <c r="E10" s="78" t="s">
        <v>29</v>
      </c>
      <c r="F10" s="78" t="str">
        <f>_xlfn.DISPIMG("ID_0AAC0BA51D6F4FE2BCBFD079231C436E",1)</f>
        <v>=DISPIMG("ID_0AAC0BA51D6F4FE2BCBFD079231C436E",1)</v>
      </c>
      <c r="G10" s="78"/>
      <c r="H10" s="80" t="s">
        <v>17</v>
      </c>
      <c r="I10" s="81">
        <f>2*1.5*3</f>
        <v>9</v>
      </c>
      <c r="J10" s="82"/>
      <c r="K10" s="82">
        <f t="shared" si="0"/>
        <v>0</v>
      </c>
      <c r="L10" s="79" t="s">
        <v>18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</row>
    <row r="11" s="64" customFormat="1" ht="150" customHeight="1" spans="1:222">
      <c r="A11" s="78">
        <v>9</v>
      </c>
      <c r="B11" s="78" t="s">
        <v>13</v>
      </c>
      <c r="C11" s="78" t="s">
        <v>27</v>
      </c>
      <c r="D11" s="79" t="s">
        <v>23</v>
      </c>
      <c r="E11" s="78" t="s">
        <v>29</v>
      </c>
      <c r="F11" s="78" t="str">
        <f>_xlfn.DISPIMG("ID_0AAC0BA51D6F4FE2BCBFD079231C436E",1)</f>
        <v>=DISPIMG("ID_0AAC0BA51D6F4FE2BCBFD079231C436E",1)</v>
      </c>
      <c r="G11" s="78"/>
      <c r="H11" s="80" t="s">
        <v>17</v>
      </c>
      <c r="I11" s="81">
        <f>47.88-9</f>
        <v>38.88</v>
      </c>
      <c r="J11" s="82"/>
      <c r="K11" s="82">
        <f t="shared" si="0"/>
        <v>0</v>
      </c>
      <c r="L11" s="79" t="s">
        <v>18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</row>
    <row r="12" s="64" customFormat="1" ht="150" customHeight="1" spans="1:222">
      <c r="A12" s="78">
        <v>10</v>
      </c>
      <c r="B12" s="78" t="s">
        <v>24</v>
      </c>
      <c r="C12" s="78" t="s">
        <v>30</v>
      </c>
      <c r="D12" s="79" t="s">
        <v>31</v>
      </c>
      <c r="E12" s="78" t="s">
        <v>16</v>
      </c>
      <c r="F12" s="78" t="str">
        <f>_xlfn.DISPIMG("ID_E96C929BEE994EC8BF378CCE862C2A40",1)</f>
        <v>=DISPIMG("ID_E96C929BEE994EC8BF378CCE862C2A40",1)</v>
      </c>
      <c r="G12" s="78"/>
      <c r="H12" s="80" t="s">
        <v>17</v>
      </c>
      <c r="I12" s="81">
        <v>18</v>
      </c>
      <c r="J12" s="82"/>
      <c r="K12" s="82">
        <f t="shared" si="0"/>
        <v>0</v>
      </c>
      <c r="L12" s="79" t="s">
        <v>18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</row>
    <row r="13" s="64" customFormat="1" ht="150" customHeight="1" spans="1:222">
      <c r="A13" s="78">
        <v>11</v>
      </c>
      <c r="B13" s="78" t="s">
        <v>24</v>
      </c>
      <c r="C13" s="78" t="s">
        <v>32</v>
      </c>
      <c r="D13" s="79" t="s">
        <v>33</v>
      </c>
      <c r="E13" s="78" t="s">
        <v>16</v>
      </c>
      <c r="F13" s="78" t="str">
        <f>_xlfn.DISPIMG("ID_EAFB72A57EE644EFB376CC1C468347AF",1)</f>
        <v>=DISPIMG("ID_EAFB72A57EE644EFB376CC1C468347AF",1)</v>
      </c>
      <c r="G13" s="78"/>
      <c r="H13" s="80" t="s">
        <v>17</v>
      </c>
      <c r="I13" s="81">
        <v>6</v>
      </c>
      <c r="J13" s="82"/>
      <c r="K13" s="82">
        <f t="shared" si="0"/>
        <v>0</v>
      </c>
      <c r="L13" s="79" t="s">
        <v>18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</row>
    <row r="14" s="64" customFormat="1" ht="150" customHeight="1" spans="1:222">
      <c r="A14" s="78">
        <v>12</v>
      </c>
      <c r="B14" s="78" t="s">
        <v>34</v>
      </c>
      <c r="C14" s="78" t="s">
        <v>35</v>
      </c>
      <c r="D14" s="79" t="s">
        <v>36</v>
      </c>
      <c r="E14" s="78" t="s">
        <v>16</v>
      </c>
      <c r="F14" s="78" t="str">
        <f>_xlfn.DISPIMG("ID_0B0A6B6286FF4C189461CF9C2B393D3B",1)</f>
        <v>=DISPIMG("ID_0B0A6B6286FF4C189461CF9C2B393D3B",1)</v>
      </c>
      <c r="G14" s="78"/>
      <c r="H14" s="80" t="s">
        <v>17</v>
      </c>
      <c r="I14" s="81">
        <v>70.2</v>
      </c>
      <c r="J14" s="82"/>
      <c r="K14" s="82">
        <f t="shared" si="0"/>
        <v>0</v>
      </c>
      <c r="L14" s="79" t="s">
        <v>18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</row>
    <row r="15" s="64" customFormat="1" ht="150" customHeight="1" spans="1:222">
      <c r="A15" s="78">
        <v>13</v>
      </c>
      <c r="B15" s="78" t="s">
        <v>13</v>
      </c>
      <c r="C15" s="78" t="s">
        <v>37</v>
      </c>
      <c r="D15" s="79" t="s">
        <v>38</v>
      </c>
      <c r="E15" s="78" t="s">
        <v>16</v>
      </c>
      <c r="F15" s="78" t="str">
        <f>_xlfn.DISPIMG("ID_63AFEDF4CBD74B48B26982B9D1B8EBF3",1)</f>
        <v>=DISPIMG("ID_63AFEDF4CBD74B48B26982B9D1B8EBF3",1)</v>
      </c>
      <c r="G15" s="78"/>
      <c r="H15" s="80" t="s">
        <v>17</v>
      </c>
      <c r="I15" s="81">
        <v>6</v>
      </c>
      <c r="J15" s="82"/>
      <c r="K15" s="82">
        <f t="shared" si="0"/>
        <v>0</v>
      </c>
      <c r="L15" s="79" t="s">
        <v>18</v>
      </c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</row>
    <row r="16" s="64" customFormat="1" ht="150" customHeight="1" spans="1:222">
      <c r="A16" s="78">
        <v>14</v>
      </c>
      <c r="B16" s="78" t="s">
        <v>13</v>
      </c>
      <c r="C16" s="78" t="s">
        <v>39</v>
      </c>
      <c r="D16" s="79" t="s">
        <v>23</v>
      </c>
      <c r="E16" s="78" t="s">
        <v>40</v>
      </c>
      <c r="F16" s="78" t="str">
        <f>_xlfn.DISPIMG("ID_24295D2CB44240C5BC024E297BD799C2",1)</f>
        <v>=DISPIMG("ID_24295D2CB44240C5BC024E297BD799C2",1)</v>
      </c>
      <c r="G16" s="78"/>
      <c r="H16" s="80" t="s">
        <v>17</v>
      </c>
      <c r="I16" s="81">
        <v>34.38</v>
      </c>
      <c r="J16" s="82"/>
      <c r="K16" s="82">
        <f t="shared" si="0"/>
        <v>0</v>
      </c>
      <c r="L16" s="79" t="s">
        <v>18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</row>
    <row r="17" s="64" customFormat="1" ht="150" customHeight="1" spans="1:221">
      <c r="A17" s="78">
        <v>15</v>
      </c>
      <c r="B17" s="78" t="s">
        <v>13</v>
      </c>
      <c r="C17" s="78" t="s">
        <v>41</v>
      </c>
      <c r="D17" s="79" t="s">
        <v>23</v>
      </c>
      <c r="E17" s="78" t="s">
        <v>40</v>
      </c>
      <c r="F17" s="78" t="str">
        <f>_xlfn.DISPIMG("ID_3FE070C73F024743B8814066E8757149",1)</f>
        <v>=DISPIMG("ID_3FE070C73F024743B8814066E8757149",1)</v>
      </c>
      <c r="G17" s="78"/>
      <c r="H17" s="80" t="s">
        <v>17</v>
      </c>
      <c r="I17" s="81">
        <v>11.7</v>
      </c>
      <c r="J17" s="82"/>
      <c r="K17" s="82">
        <f t="shared" si="0"/>
        <v>0</v>
      </c>
      <c r="L17" s="79" t="s">
        <v>18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</row>
    <row r="18" s="64" customFormat="1" ht="150" customHeight="1" spans="1:221">
      <c r="A18" s="78">
        <v>16</v>
      </c>
      <c r="B18" s="78" t="s">
        <v>13</v>
      </c>
      <c r="C18" s="78" t="s">
        <v>41</v>
      </c>
      <c r="D18" s="79" t="s">
        <v>42</v>
      </c>
      <c r="E18" s="78" t="s">
        <v>43</v>
      </c>
      <c r="F18" s="78"/>
      <c r="G18" s="78"/>
      <c r="H18" s="80" t="s">
        <v>17</v>
      </c>
      <c r="I18" s="81">
        <v>18.9</v>
      </c>
      <c r="J18" s="82"/>
      <c r="K18" s="82">
        <f t="shared" si="0"/>
        <v>0</v>
      </c>
      <c r="L18" s="79" t="s">
        <v>44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</row>
    <row r="19" s="64" customFormat="1" ht="150" customHeight="1" spans="1:221">
      <c r="A19" s="78">
        <v>17</v>
      </c>
      <c r="B19" s="78" t="s">
        <v>13</v>
      </c>
      <c r="C19" s="78" t="s">
        <v>22</v>
      </c>
      <c r="D19" s="79" t="s">
        <v>42</v>
      </c>
      <c r="E19" s="78" t="s">
        <v>45</v>
      </c>
      <c r="F19" s="78" t="str">
        <f>_xlfn.DISPIMG("ID_4BFD24C956404E308D59D759D34437D5",1)</f>
        <v>=DISPIMG("ID_4BFD24C956404E308D59D759D34437D5",1)</v>
      </c>
      <c r="G19" s="78"/>
      <c r="H19" s="80" t="s">
        <v>17</v>
      </c>
      <c r="I19" s="81">
        <v>42.6</v>
      </c>
      <c r="J19" s="82"/>
      <c r="K19" s="82">
        <f t="shared" si="0"/>
        <v>0</v>
      </c>
      <c r="L19" s="79" t="s">
        <v>18</v>
      </c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</row>
    <row r="20" s="64" customFormat="1" ht="150" customHeight="1" spans="1:221">
      <c r="A20" s="78">
        <v>18</v>
      </c>
      <c r="B20" s="78" t="s">
        <v>13</v>
      </c>
      <c r="C20" s="78" t="s">
        <v>27</v>
      </c>
      <c r="D20" s="79" t="s">
        <v>46</v>
      </c>
      <c r="E20" s="78" t="s">
        <v>47</v>
      </c>
      <c r="F20" s="78" t="str">
        <f>_xlfn.DISPIMG("ID_FC6DA86FE7E644C1BCAC64FD6A43EB2E",1)</f>
        <v>=DISPIMG("ID_FC6DA86FE7E644C1BCAC64FD6A43EB2E",1)</v>
      </c>
      <c r="G20" s="78"/>
      <c r="H20" s="80" t="s">
        <v>17</v>
      </c>
      <c r="I20" s="81">
        <v>42.72</v>
      </c>
      <c r="J20" s="82"/>
      <c r="K20" s="82">
        <f t="shared" si="0"/>
        <v>0</v>
      </c>
      <c r="L20" s="79" t="s">
        <v>21</v>
      </c>
      <c r="M20" s="84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</row>
    <row r="21" s="64" customFormat="1" ht="150" customHeight="1" spans="1:221">
      <c r="A21" s="78">
        <v>19</v>
      </c>
      <c r="B21" s="78" t="s">
        <v>13</v>
      </c>
      <c r="C21" s="78" t="s">
        <v>48</v>
      </c>
      <c r="D21" s="79" t="s">
        <v>49</v>
      </c>
      <c r="E21" s="78" t="s">
        <v>47</v>
      </c>
      <c r="F21" s="78" t="str">
        <f>_xlfn.DISPIMG("ID_0209B804C55E42C197ECD3B0C5DEFFE7",1)</f>
        <v>=DISPIMG("ID_0209B804C55E42C197ECD3B0C5DEFFE7",1)</v>
      </c>
      <c r="G21" s="78"/>
      <c r="H21" s="80" t="s">
        <v>17</v>
      </c>
      <c r="I21" s="81">
        <v>24.6</v>
      </c>
      <c r="J21" s="82"/>
      <c r="K21" s="82">
        <f t="shared" si="0"/>
        <v>0</v>
      </c>
      <c r="L21" s="79" t="s">
        <v>21</v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</row>
    <row r="22" s="64" customFormat="1" ht="150" customHeight="1" spans="1:221">
      <c r="A22" s="78">
        <v>20</v>
      </c>
      <c r="B22" s="78" t="s">
        <v>13</v>
      </c>
      <c r="C22" s="78" t="s">
        <v>50</v>
      </c>
      <c r="D22" s="79" t="s">
        <v>51</v>
      </c>
      <c r="E22" s="78" t="s">
        <v>52</v>
      </c>
      <c r="F22" s="78" t="str">
        <f>_xlfn.DISPIMG("ID_EADE9338521B49EAB4A61EF60ED71309",1)</f>
        <v>=DISPIMG("ID_EADE9338521B49EAB4A61EF60ED71309",1)</v>
      </c>
      <c r="G22" s="78"/>
      <c r="H22" s="80" t="s">
        <v>17</v>
      </c>
      <c r="I22" s="81">
        <v>58.56</v>
      </c>
      <c r="J22" s="82"/>
      <c r="K22" s="82">
        <f t="shared" si="0"/>
        <v>0</v>
      </c>
      <c r="L22" s="79" t="s">
        <v>18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</row>
    <row r="23" s="64" customFormat="1" ht="150" customHeight="1" spans="1:221">
      <c r="A23" s="78">
        <v>21</v>
      </c>
      <c r="B23" s="78" t="s">
        <v>13</v>
      </c>
      <c r="C23" s="78" t="s">
        <v>53</v>
      </c>
      <c r="D23" s="79" t="s">
        <v>54</v>
      </c>
      <c r="E23" s="78" t="s">
        <v>47</v>
      </c>
      <c r="F23" s="78" t="str">
        <f>_xlfn.DISPIMG("ID_61AF49491A6049B58EE003FF22B391D2",1)</f>
        <v>=DISPIMG("ID_61AF49491A6049B58EE003FF22B391D2",1)</v>
      </c>
      <c r="G23" s="78" t="str">
        <f>_xlfn.DISPIMG("ID_9A8A67BEBDD146D49189D39DC9B751A3",1)</f>
        <v>=DISPIMG("ID_9A8A67BEBDD146D49189D39DC9B751A3",1)</v>
      </c>
      <c r="H23" s="80" t="s">
        <v>55</v>
      </c>
      <c r="I23" s="81">
        <v>32.62</v>
      </c>
      <c r="J23" s="82"/>
      <c r="K23" s="82">
        <f t="shared" si="0"/>
        <v>0</v>
      </c>
      <c r="L23" s="79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</row>
    <row r="24" s="64" customFormat="1" ht="150" customHeight="1" spans="1:221">
      <c r="A24" s="78">
        <v>22</v>
      </c>
      <c r="B24" s="78" t="s">
        <v>13</v>
      </c>
      <c r="C24" s="78" t="s">
        <v>53</v>
      </c>
      <c r="D24" s="79" t="s">
        <v>56</v>
      </c>
      <c r="E24" s="78" t="s">
        <v>16</v>
      </c>
      <c r="F24" s="78" t="str">
        <f>_xlfn.DISPIMG("ID_7EE5ECE4C8FB40119B37A496F83A5AE0",1)</f>
        <v>=DISPIMG("ID_7EE5ECE4C8FB40119B37A496F83A5AE0",1)</v>
      </c>
      <c r="G24" s="78" t="str">
        <f>_xlfn.DISPIMG("ID_364213201381438985C711FA415AAB9D",1)</f>
        <v>=DISPIMG("ID_364213201381438985C711FA415AAB9D",1)</v>
      </c>
      <c r="H24" s="80" t="s">
        <v>55</v>
      </c>
      <c r="I24" s="81">
        <v>150.33</v>
      </c>
      <c r="J24" s="82"/>
      <c r="K24" s="82">
        <f t="shared" si="0"/>
        <v>0</v>
      </c>
      <c r="L24" s="79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</row>
    <row r="25" s="64" customFormat="1" ht="150" customHeight="1" spans="1:221">
      <c r="A25" s="78">
        <v>23</v>
      </c>
      <c r="B25" s="78" t="s">
        <v>13</v>
      </c>
      <c r="C25" s="78" t="s">
        <v>57</v>
      </c>
      <c r="D25" s="79" t="s">
        <v>58</v>
      </c>
      <c r="E25" s="78" t="s">
        <v>59</v>
      </c>
      <c r="F25" s="78" t="str">
        <f>_xlfn.DISPIMG("ID_A488B166450E4A84AF52E0EDEF7F3BAD",1)</f>
        <v>=DISPIMG("ID_A488B166450E4A84AF52E0EDEF7F3BAD",1)</v>
      </c>
      <c r="G25" s="78"/>
      <c r="H25" s="80" t="s">
        <v>55</v>
      </c>
      <c r="I25" s="81">
        <v>45.12</v>
      </c>
      <c r="J25" s="82"/>
      <c r="K25" s="82">
        <f t="shared" si="0"/>
        <v>0</v>
      </c>
      <c r="L25" s="79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</row>
    <row r="26" s="64" customFormat="1" ht="150" customHeight="1" spans="1:221">
      <c r="A26" s="78">
        <v>24</v>
      </c>
      <c r="B26" s="78" t="s">
        <v>13</v>
      </c>
      <c r="C26" s="78" t="s">
        <v>60</v>
      </c>
      <c r="D26" s="79" t="s">
        <v>58</v>
      </c>
      <c r="E26" s="78" t="s">
        <v>16</v>
      </c>
      <c r="F26" s="78" t="str">
        <f>_xlfn.DISPIMG("ID_2067C798A81E4D7AABE31B5975952BE9",1)</f>
        <v>=DISPIMG("ID_2067C798A81E4D7AABE31B5975952BE9",1)</v>
      </c>
      <c r="G26" s="78"/>
      <c r="H26" s="80" t="s">
        <v>55</v>
      </c>
      <c r="I26" s="81">
        <v>29</v>
      </c>
      <c r="J26" s="82"/>
      <c r="K26" s="82">
        <f t="shared" si="0"/>
        <v>0</v>
      </c>
      <c r="L26" s="79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</row>
    <row r="27" s="64" customFormat="1" ht="150" customHeight="1" spans="1:221">
      <c r="A27" s="78">
        <v>25</v>
      </c>
      <c r="B27" s="78" t="s">
        <v>13</v>
      </c>
      <c r="C27" s="78" t="s">
        <v>61</v>
      </c>
      <c r="D27" s="79" t="s">
        <v>62</v>
      </c>
      <c r="E27" s="78" t="s">
        <v>63</v>
      </c>
      <c r="F27" s="78" t="str">
        <f>_xlfn.DISPIMG("ID_DD32FFEA63074CA58384B7888E40335A",1)</f>
        <v>=DISPIMG("ID_DD32FFEA63074CA58384B7888E40335A",1)</v>
      </c>
      <c r="G27" s="78"/>
      <c r="H27" s="80" t="s">
        <v>55</v>
      </c>
      <c r="I27" s="81">
        <v>39.14</v>
      </c>
      <c r="J27" s="82"/>
      <c r="K27" s="82">
        <f t="shared" si="0"/>
        <v>0</v>
      </c>
      <c r="L27" s="79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</row>
    <row r="28" s="64" customFormat="1" ht="150" customHeight="1" spans="1:221">
      <c r="A28" s="78">
        <v>26</v>
      </c>
      <c r="B28" s="78" t="s">
        <v>13</v>
      </c>
      <c r="C28" s="78" t="s">
        <v>61</v>
      </c>
      <c r="D28" s="79" t="s">
        <v>64</v>
      </c>
      <c r="E28" s="78" t="s">
        <v>65</v>
      </c>
      <c r="F28" s="78" t="str">
        <f>_xlfn.DISPIMG("ID_AAC49DD366884AB1BB7EFD407D540A1F",1)</f>
        <v>=DISPIMG("ID_AAC49DD366884AB1BB7EFD407D540A1F",1)</v>
      </c>
      <c r="G28" s="78"/>
      <c r="H28" s="80" t="s">
        <v>55</v>
      </c>
      <c r="I28" s="81">
        <v>13.94</v>
      </c>
      <c r="J28" s="82"/>
      <c r="K28" s="82">
        <f t="shared" si="0"/>
        <v>0</v>
      </c>
      <c r="L28" s="79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</row>
    <row r="29" s="64" customFormat="1" ht="150" customHeight="1" spans="1:221">
      <c r="A29" s="78">
        <v>27</v>
      </c>
      <c r="B29" s="78" t="s">
        <v>13</v>
      </c>
      <c r="C29" s="78" t="s">
        <v>66</v>
      </c>
      <c r="D29" s="79" t="s">
        <v>51</v>
      </c>
      <c r="E29" s="78" t="s">
        <v>67</v>
      </c>
      <c r="F29" s="78" t="str">
        <f>_xlfn.DISPIMG("ID_B3425CCBFD254665A027FCD69CC01030",1)</f>
        <v>=DISPIMG("ID_B3425CCBFD254665A027FCD69CC01030",1)</v>
      </c>
      <c r="G29" s="78"/>
      <c r="H29" s="80" t="s">
        <v>17</v>
      </c>
      <c r="I29" s="81">
        <v>337.38</v>
      </c>
      <c r="J29" s="82"/>
      <c r="K29" s="82">
        <f t="shared" si="0"/>
        <v>0</v>
      </c>
      <c r="L29" s="79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</row>
    <row r="30" s="64" customFormat="1" ht="150" customHeight="1" spans="1:221">
      <c r="A30" s="78">
        <v>28</v>
      </c>
      <c r="B30" s="78" t="s">
        <v>13</v>
      </c>
      <c r="C30" s="78" t="s">
        <v>66</v>
      </c>
      <c r="D30" s="79" t="s">
        <v>51</v>
      </c>
      <c r="E30" s="78" t="s">
        <v>65</v>
      </c>
      <c r="F30" s="78" t="str">
        <f>_xlfn.DISPIMG("ID_70AA2C07DEE54A25BB772831B3EA8121",1)</f>
        <v>=DISPIMG("ID_70AA2C07DEE54A25BB772831B3EA8121",1)</v>
      </c>
      <c r="G30" s="78"/>
      <c r="H30" s="80" t="s">
        <v>17</v>
      </c>
      <c r="I30" s="81">
        <v>280.44</v>
      </c>
      <c r="J30" s="82"/>
      <c r="K30" s="82">
        <f t="shared" si="0"/>
        <v>0</v>
      </c>
      <c r="L30" s="79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</row>
    <row r="31" s="64" customFormat="1" ht="150" customHeight="1" spans="1:221">
      <c r="A31" s="78">
        <v>29</v>
      </c>
      <c r="B31" s="78" t="s">
        <v>13</v>
      </c>
      <c r="C31" s="78" t="s">
        <v>66</v>
      </c>
      <c r="D31" s="79" t="s">
        <v>51</v>
      </c>
      <c r="E31" s="78" t="s">
        <v>68</v>
      </c>
      <c r="F31" s="78" t="str">
        <f>_xlfn.DISPIMG("ID_F907A6DEDA2A4592A53E036DB93B7726",1)</f>
        <v>=DISPIMG("ID_F907A6DEDA2A4592A53E036DB93B7726",1)</v>
      </c>
      <c r="G31" s="78"/>
      <c r="H31" s="80" t="s">
        <v>17</v>
      </c>
      <c r="I31" s="81">
        <v>494.97</v>
      </c>
      <c r="J31" s="82"/>
      <c r="K31" s="82">
        <f t="shared" si="0"/>
        <v>0</v>
      </c>
      <c r="L31" s="79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</row>
    <row r="32" s="64" customFormat="1" ht="150" customHeight="1" spans="1:221">
      <c r="A32" s="78">
        <v>30</v>
      </c>
      <c r="B32" s="78" t="s">
        <v>13</v>
      </c>
      <c r="C32" s="78" t="s">
        <v>66</v>
      </c>
      <c r="D32" s="79" t="s">
        <v>51</v>
      </c>
      <c r="E32" s="78" t="s">
        <v>69</v>
      </c>
      <c r="F32" s="78" t="str">
        <f>_xlfn.DISPIMG("ID_388D0D4E0302448F87EF7A9A6291E3EC",1)</f>
        <v>=DISPIMG("ID_388D0D4E0302448F87EF7A9A6291E3EC",1)</v>
      </c>
      <c r="G32" s="78"/>
      <c r="H32" s="80" t="s">
        <v>17</v>
      </c>
      <c r="I32" s="81">
        <v>275.83</v>
      </c>
      <c r="J32" s="82"/>
      <c r="K32" s="82">
        <f t="shared" si="0"/>
        <v>0</v>
      </c>
      <c r="L32" s="79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</row>
    <row r="33" s="64" customFormat="1" ht="150" customHeight="1" spans="1:221">
      <c r="A33" s="78">
        <v>31</v>
      </c>
      <c r="B33" s="78" t="s">
        <v>13</v>
      </c>
      <c r="C33" s="78" t="s">
        <v>66</v>
      </c>
      <c r="D33" s="79" t="s">
        <v>70</v>
      </c>
      <c r="E33" s="78" t="s">
        <v>71</v>
      </c>
      <c r="F33" s="78" t="str">
        <f>_xlfn.DISPIMG("ID_86E38C992C774A67A440A494293A42E5",1)</f>
        <v>=DISPIMG("ID_86E38C992C774A67A440A494293A42E5",1)</v>
      </c>
      <c r="G33" s="78"/>
      <c r="H33" s="80" t="s">
        <v>17</v>
      </c>
      <c r="I33" s="81">
        <v>446.71</v>
      </c>
      <c r="J33" s="82"/>
      <c r="K33" s="82">
        <f t="shared" si="0"/>
        <v>0</v>
      </c>
      <c r="L33" s="79" t="s">
        <v>72</v>
      </c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</row>
    <row r="34" s="64" customFormat="1" ht="150" customHeight="1" spans="1:221">
      <c r="A34" s="78">
        <v>32</v>
      </c>
      <c r="B34" s="78" t="s">
        <v>13</v>
      </c>
      <c r="C34" s="78" t="s">
        <v>73</v>
      </c>
      <c r="D34" s="79" t="s">
        <v>74</v>
      </c>
      <c r="E34" s="78" t="s">
        <v>75</v>
      </c>
      <c r="F34" s="78" t="str">
        <f>_xlfn.DISPIMG("ID_4D0440FD56DB4D169716F0D528FEA390",1)</f>
        <v>=DISPIMG("ID_4D0440FD56DB4D169716F0D528FEA390",1)</v>
      </c>
      <c r="G34" s="78"/>
      <c r="H34" s="80" t="s">
        <v>17</v>
      </c>
      <c r="I34" s="81">
        <v>3.79</v>
      </c>
      <c r="J34" s="82"/>
      <c r="K34" s="82">
        <f t="shared" si="0"/>
        <v>0</v>
      </c>
      <c r="L34" s="79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</row>
    <row r="35" s="64" customFormat="1" ht="150" customHeight="1" spans="1:221">
      <c r="A35" s="78">
        <v>33</v>
      </c>
      <c r="B35" s="78" t="s">
        <v>13</v>
      </c>
      <c r="C35" s="78" t="s">
        <v>76</v>
      </c>
      <c r="D35" s="79" t="s">
        <v>77</v>
      </c>
      <c r="E35" s="78" t="s">
        <v>16</v>
      </c>
      <c r="F35" s="78" t="str">
        <f>_xlfn.DISPIMG("ID_371D79913CB1484FB9C54F45AF9B6E68",1)</f>
        <v>=DISPIMG("ID_371D79913CB1484FB9C54F45AF9B6E68",1)</v>
      </c>
      <c r="G35" s="78"/>
      <c r="H35" s="80" t="s">
        <v>17</v>
      </c>
      <c r="I35" s="81">
        <v>184.4</v>
      </c>
      <c r="J35" s="82"/>
      <c r="K35" s="82">
        <f t="shared" si="0"/>
        <v>0</v>
      </c>
      <c r="L35" s="79" t="s">
        <v>78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</row>
    <row r="36" s="64" customFormat="1" ht="150" customHeight="1" spans="1:221">
      <c r="A36" s="78">
        <v>34</v>
      </c>
      <c r="B36" s="78" t="s">
        <v>13</v>
      </c>
      <c r="C36" s="78" t="s">
        <v>79</v>
      </c>
      <c r="D36" s="79" t="s">
        <v>77</v>
      </c>
      <c r="E36" s="78" t="s">
        <v>16</v>
      </c>
      <c r="F36" s="78" t="str">
        <f>_xlfn.DISPIMG("ID_DE27785E21BF4DA4BD9B6FC1FC2EBB30",1)</f>
        <v>=DISPIMG("ID_DE27785E21BF4DA4BD9B6FC1FC2EBB30",1)</v>
      </c>
      <c r="G36" s="78"/>
      <c r="H36" s="80" t="s">
        <v>17</v>
      </c>
      <c r="I36" s="81">
        <v>27.79</v>
      </c>
      <c r="J36" s="82"/>
      <c r="K36" s="82">
        <f t="shared" ref="K36:K66" si="1">J36*I36</f>
        <v>0</v>
      </c>
      <c r="L36" s="79" t="s">
        <v>78</v>
      </c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</row>
    <row r="37" s="64" customFormat="1" ht="150" customHeight="1" spans="1:221">
      <c r="A37" s="78">
        <v>35</v>
      </c>
      <c r="B37" s="78" t="s">
        <v>13</v>
      </c>
      <c r="C37" s="78" t="s">
        <v>80</v>
      </c>
      <c r="D37" s="79" t="s">
        <v>81</v>
      </c>
      <c r="E37" s="78" t="s">
        <v>16</v>
      </c>
      <c r="F37" s="78" t="str">
        <f>_xlfn.DISPIMG("ID_0831959A5CBB48B9BA58D7D816CE8D05",1)</f>
        <v>=DISPIMG("ID_0831959A5CBB48B9BA58D7D816CE8D05",1)</v>
      </c>
      <c r="G37" s="78"/>
      <c r="H37" s="80" t="s">
        <v>17</v>
      </c>
      <c r="I37" s="81">
        <v>20.88</v>
      </c>
      <c r="J37" s="82"/>
      <c r="K37" s="82">
        <f t="shared" si="1"/>
        <v>0</v>
      </c>
      <c r="L37" s="79" t="s">
        <v>78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</row>
    <row r="38" s="64" customFormat="1" ht="150" customHeight="1" spans="1:221">
      <c r="A38" s="78">
        <v>36</v>
      </c>
      <c r="B38" s="78" t="s">
        <v>13</v>
      </c>
      <c r="C38" s="78" t="s">
        <v>80</v>
      </c>
      <c r="D38" s="79" t="s">
        <v>81</v>
      </c>
      <c r="E38" s="78" t="s">
        <v>16</v>
      </c>
      <c r="F38" s="78"/>
      <c r="G38" s="78"/>
      <c r="H38" s="80" t="s">
        <v>17</v>
      </c>
      <c r="I38" s="81">
        <v>6</v>
      </c>
      <c r="J38" s="82"/>
      <c r="K38" s="82">
        <f t="shared" si="1"/>
        <v>0</v>
      </c>
      <c r="L38" s="79" t="s">
        <v>78</v>
      </c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</row>
    <row r="39" s="64" customFormat="1" ht="150" customHeight="1" spans="1:221">
      <c r="A39" s="78">
        <v>37</v>
      </c>
      <c r="B39" s="78" t="s">
        <v>13</v>
      </c>
      <c r="C39" s="78" t="s">
        <v>80</v>
      </c>
      <c r="D39" s="79" t="s">
        <v>81</v>
      </c>
      <c r="E39" s="78" t="s">
        <v>16</v>
      </c>
      <c r="F39" s="78"/>
      <c r="G39" s="78"/>
      <c r="H39" s="80" t="s">
        <v>17</v>
      </c>
      <c r="I39" s="81">
        <v>12</v>
      </c>
      <c r="J39" s="82"/>
      <c r="K39" s="82">
        <f t="shared" si="1"/>
        <v>0</v>
      </c>
      <c r="L39" s="79" t="s">
        <v>78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</row>
    <row r="40" s="64" customFormat="1" ht="150" customHeight="1" spans="1:221">
      <c r="A40" s="78">
        <v>38</v>
      </c>
      <c r="B40" s="78" t="s">
        <v>13</v>
      </c>
      <c r="C40" s="78" t="s">
        <v>80</v>
      </c>
      <c r="D40" s="79" t="s">
        <v>81</v>
      </c>
      <c r="E40" s="78" t="s">
        <v>16</v>
      </c>
      <c r="F40" s="78"/>
      <c r="G40" s="78"/>
      <c r="H40" s="80" t="s">
        <v>17</v>
      </c>
      <c r="I40" s="81">
        <v>12</v>
      </c>
      <c r="J40" s="82"/>
      <c r="K40" s="82">
        <f t="shared" si="1"/>
        <v>0</v>
      </c>
      <c r="L40" s="79" t="s">
        <v>78</v>
      </c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</row>
    <row r="41" s="64" customFormat="1" ht="150" customHeight="1" spans="1:221">
      <c r="A41" s="78">
        <v>39</v>
      </c>
      <c r="B41" s="78" t="s">
        <v>13</v>
      </c>
      <c r="C41" s="78" t="s">
        <v>82</v>
      </c>
      <c r="D41" s="79" t="s">
        <v>83</v>
      </c>
      <c r="E41" s="78" t="s">
        <v>16</v>
      </c>
      <c r="F41" s="78" t="str">
        <f>_xlfn.DISPIMG("ID_EC652B51E95B42A593E389298296C242",1)</f>
        <v>=DISPIMG("ID_EC652B51E95B42A593E389298296C242",1)</v>
      </c>
      <c r="G41" s="78" t="str">
        <f>_xlfn.DISPIMG("ID_AD0D5175317141CB8BB634E18D6EC7BE",1)</f>
        <v>=DISPIMG("ID_AD0D5175317141CB8BB634E18D6EC7BE",1)</v>
      </c>
      <c r="H41" s="80" t="s">
        <v>55</v>
      </c>
      <c r="I41" s="81">
        <v>53.11</v>
      </c>
      <c r="J41" s="82"/>
      <c r="K41" s="82">
        <f t="shared" si="1"/>
        <v>0</v>
      </c>
      <c r="L41" s="79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</row>
    <row r="42" s="64" customFormat="1" ht="150" customHeight="1" spans="1:221">
      <c r="A42" s="78">
        <v>40</v>
      </c>
      <c r="B42" s="78" t="s">
        <v>13</v>
      </c>
      <c r="C42" s="78" t="s">
        <v>84</v>
      </c>
      <c r="D42" s="79" t="s">
        <v>85</v>
      </c>
      <c r="E42" s="78" t="s">
        <v>16</v>
      </c>
      <c r="F42" s="78" t="str">
        <f>_xlfn.DISPIMG("ID_EC652B51E95B42A593E389298296C242",1)</f>
        <v>=DISPIMG("ID_EC652B51E95B42A593E389298296C242",1)</v>
      </c>
      <c r="G42" s="78" t="str">
        <f>_xlfn.DISPIMG("ID_EB3649E238494EBE994E882E431E701A",1)</f>
        <v>=DISPIMG("ID_EB3649E238494EBE994E882E431E701A",1)</v>
      </c>
      <c r="H42" s="80" t="s">
        <v>55</v>
      </c>
      <c r="I42" s="81">
        <v>24.4</v>
      </c>
      <c r="J42" s="82"/>
      <c r="K42" s="82">
        <f t="shared" si="1"/>
        <v>0</v>
      </c>
      <c r="L42" s="79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</row>
    <row r="43" s="64" customFormat="1" ht="150" customHeight="1" spans="1:221">
      <c r="A43" s="78">
        <v>41</v>
      </c>
      <c r="B43" s="78" t="s">
        <v>13</v>
      </c>
      <c r="C43" s="78" t="s">
        <v>82</v>
      </c>
      <c r="D43" s="79" t="s">
        <v>86</v>
      </c>
      <c r="E43" s="78" t="s">
        <v>87</v>
      </c>
      <c r="F43" s="78" t="str">
        <f>_xlfn.DISPIMG("ID_2A4198D0AEBA427A9952672688750535",1)</f>
        <v>=DISPIMG("ID_2A4198D0AEBA427A9952672688750535",1)</v>
      </c>
      <c r="G43" s="78"/>
      <c r="H43" s="80" t="s">
        <v>17</v>
      </c>
      <c r="I43" s="81">
        <v>6.36</v>
      </c>
      <c r="J43" s="82"/>
      <c r="K43" s="82">
        <f t="shared" si="1"/>
        <v>0</v>
      </c>
      <c r="L43" s="79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</row>
    <row r="44" s="64" customFormat="1" ht="150" customHeight="1" spans="1:221">
      <c r="A44" s="78">
        <v>42</v>
      </c>
      <c r="B44" s="78" t="s">
        <v>13</v>
      </c>
      <c r="C44" s="78" t="s">
        <v>88</v>
      </c>
      <c r="D44" s="79" t="s">
        <v>89</v>
      </c>
      <c r="E44" s="78" t="s">
        <v>90</v>
      </c>
      <c r="F44" s="78" t="str">
        <f>_xlfn.DISPIMG("ID_7A8AB72F36BA44269F5584EEEB5A0DD2",1)</f>
        <v>=DISPIMG("ID_7A8AB72F36BA44269F5584EEEB5A0DD2",1)</v>
      </c>
      <c r="G44" s="78"/>
      <c r="H44" s="80" t="s">
        <v>17</v>
      </c>
      <c r="I44" s="81">
        <v>2.79</v>
      </c>
      <c r="J44" s="85"/>
      <c r="K44" s="82">
        <f t="shared" si="1"/>
        <v>0</v>
      </c>
      <c r="L44" s="86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</row>
    <row r="45" s="64" customFormat="1" ht="150" customHeight="1" spans="1:221">
      <c r="A45" s="78">
        <v>43</v>
      </c>
      <c r="B45" s="78" t="s">
        <v>13</v>
      </c>
      <c r="C45" s="78" t="s">
        <v>91</v>
      </c>
      <c r="D45" s="79" t="s">
        <v>92</v>
      </c>
      <c r="E45" s="78" t="s">
        <v>93</v>
      </c>
      <c r="F45" s="78" t="str">
        <f>_xlfn.DISPIMG("ID_CDD2E3A74FB14E04840E2512675D20B2",1)</f>
        <v>=DISPIMG("ID_CDD2E3A74FB14E04840E2512675D20B2",1)</v>
      </c>
      <c r="G45" s="78" t="str">
        <f>_xlfn.DISPIMG("ID_FE898E0D03DE4906A32BF916C7C7CF3D",1)</f>
        <v>=DISPIMG("ID_FE898E0D03DE4906A32BF916C7C7CF3D",1)</v>
      </c>
      <c r="H45" s="80" t="s">
        <v>55</v>
      </c>
      <c r="I45" s="81">
        <v>1928.85</v>
      </c>
      <c r="J45" s="85"/>
      <c r="K45" s="82">
        <f t="shared" si="1"/>
        <v>0</v>
      </c>
      <c r="L45" s="86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</row>
    <row r="46" s="64" customFormat="1" ht="150" customHeight="1" spans="1:221">
      <c r="A46" s="78">
        <v>44</v>
      </c>
      <c r="B46" s="78" t="s">
        <v>13</v>
      </c>
      <c r="C46" s="78" t="s">
        <v>91</v>
      </c>
      <c r="D46" s="79" t="s">
        <v>94</v>
      </c>
      <c r="E46" s="78" t="s">
        <v>93</v>
      </c>
      <c r="F46" s="78" t="str">
        <f>_xlfn.DISPIMG("ID_CDD2E3A74FB14E04840E2512675D20B2",1)</f>
        <v>=DISPIMG("ID_CDD2E3A74FB14E04840E2512675D20B2",1)</v>
      </c>
      <c r="G46" s="78" t="str">
        <f>_xlfn.DISPIMG("ID_E55BE87D5F5843CAA5A28CE91AFFCFE0",1)</f>
        <v>=DISPIMG("ID_E55BE87D5F5843CAA5A28CE91AFFCFE0",1)</v>
      </c>
      <c r="H46" s="80" t="s">
        <v>55</v>
      </c>
      <c r="I46" s="81">
        <v>1928.85</v>
      </c>
      <c r="J46" s="85"/>
      <c r="K46" s="82">
        <f t="shared" si="1"/>
        <v>0</v>
      </c>
      <c r="L46" s="86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</row>
    <row r="47" s="64" customFormat="1" ht="150" customHeight="1" spans="1:221">
      <c r="A47" s="78">
        <v>45</v>
      </c>
      <c r="B47" s="78" t="s">
        <v>13</v>
      </c>
      <c r="C47" s="78" t="s">
        <v>91</v>
      </c>
      <c r="D47" s="79" t="s">
        <v>95</v>
      </c>
      <c r="E47" s="78" t="s">
        <v>96</v>
      </c>
      <c r="F47" s="78" t="str">
        <f>_xlfn.DISPIMG("ID_83D39A4F620A4AF3815909431FC20BBE",1)</f>
        <v>=DISPIMG("ID_83D39A4F620A4AF3815909431FC20BBE",1)</v>
      </c>
      <c r="G47" s="78"/>
      <c r="H47" s="80" t="s">
        <v>55</v>
      </c>
      <c r="I47" s="81">
        <v>1424.13</v>
      </c>
      <c r="J47" s="85"/>
      <c r="K47" s="82">
        <f t="shared" si="1"/>
        <v>0</v>
      </c>
      <c r="L47" s="86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</row>
    <row r="48" s="64" customFormat="1" ht="150" customHeight="1" spans="1:221">
      <c r="A48" s="78">
        <v>46</v>
      </c>
      <c r="B48" s="78" t="s">
        <v>13</v>
      </c>
      <c r="C48" s="78" t="s">
        <v>91</v>
      </c>
      <c r="D48" s="79" t="s">
        <v>97</v>
      </c>
      <c r="E48" s="78" t="s">
        <v>47</v>
      </c>
      <c r="F48" s="78" t="str">
        <f>_xlfn.DISPIMG("ID_7DDE80BCEA3E48B3A45626778C06E32D",1)</f>
        <v>=DISPIMG("ID_7DDE80BCEA3E48B3A45626778C06E32D",1)</v>
      </c>
      <c r="G48" s="78"/>
      <c r="H48" s="80" t="s">
        <v>55</v>
      </c>
      <c r="I48" s="81">
        <v>39.42</v>
      </c>
      <c r="J48" s="85"/>
      <c r="K48" s="82">
        <f t="shared" si="1"/>
        <v>0</v>
      </c>
      <c r="L48" s="86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</row>
    <row r="49" s="64" customFormat="1" ht="150" customHeight="1" spans="1:221">
      <c r="A49" s="78">
        <v>47</v>
      </c>
      <c r="B49" s="78" t="s">
        <v>13</v>
      </c>
      <c r="C49" s="78" t="s">
        <v>91</v>
      </c>
      <c r="D49" s="79" t="s">
        <v>98</v>
      </c>
      <c r="E49" s="78" t="s">
        <v>47</v>
      </c>
      <c r="F49" s="78" t="str">
        <f>_xlfn.DISPIMG("ID_694EA50FA6554198A37724DDF9D2FF5F",1)</f>
        <v>=DISPIMG("ID_694EA50FA6554198A37724DDF9D2FF5F",1)</v>
      </c>
      <c r="G49" s="78"/>
      <c r="H49" s="80" t="s">
        <v>55</v>
      </c>
      <c r="I49" s="81">
        <v>19.12</v>
      </c>
      <c r="J49" s="85"/>
      <c r="K49" s="82">
        <f t="shared" si="1"/>
        <v>0</v>
      </c>
      <c r="L49" s="86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</row>
    <row r="50" s="64" customFormat="1" ht="150" customHeight="1" spans="1:221">
      <c r="A50" s="78">
        <v>48</v>
      </c>
      <c r="B50" s="78" t="s">
        <v>13</v>
      </c>
      <c r="C50" s="78" t="s">
        <v>91</v>
      </c>
      <c r="D50" s="79" t="s">
        <v>99</v>
      </c>
      <c r="E50" s="78" t="s">
        <v>100</v>
      </c>
      <c r="F50" s="78" t="str">
        <f>_xlfn.DISPIMG("ID_11C5740617674DE791B5A181552839DA",1)</f>
        <v>=DISPIMG("ID_11C5740617674DE791B5A181552839DA",1)</v>
      </c>
      <c r="G50" s="78"/>
      <c r="H50" s="80" t="s">
        <v>55</v>
      </c>
      <c r="I50" s="81">
        <v>26.4</v>
      </c>
      <c r="J50" s="85"/>
      <c r="K50" s="82">
        <f t="shared" si="1"/>
        <v>0</v>
      </c>
      <c r="L50" s="86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</row>
    <row r="51" s="64" customFormat="1" ht="150" customHeight="1" spans="1:221">
      <c r="A51" s="78">
        <v>49</v>
      </c>
      <c r="B51" s="78" t="s">
        <v>13</v>
      </c>
      <c r="C51" s="78" t="s">
        <v>91</v>
      </c>
      <c r="D51" s="79" t="s">
        <v>101</v>
      </c>
      <c r="E51" s="78" t="s">
        <v>47</v>
      </c>
      <c r="F51" s="78" t="str">
        <f>_xlfn.DISPIMG("ID_E6BA138FE717469688809021EA9B21A3",1)</f>
        <v>=DISPIMG("ID_E6BA138FE717469688809021EA9B21A3",1)</v>
      </c>
      <c r="G51" s="78"/>
      <c r="H51" s="80" t="s">
        <v>55</v>
      </c>
      <c r="I51" s="81">
        <v>43.3</v>
      </c>
      <c r="J51" s="85"/>
      <c r="K51" s="82">
        <f t="shared" si="1"/>
        <v>0</v>
      </c>
      <c r="L51" s="86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</row>
    <row r="52" s="64" customFormat="1" ht="150" customHeight="1" spans="1:221">
      <c r="A52" s="78">
        <v>50</v>
      </c>
      <c r="B52" s="78" t="s">
        <v>13</v>
      </c>
      <c r="C52" s="78" t="s">
        <v>91</v>
      </c>
      <c r="D52" s="79" t="s">
        <v>102</v>
      </c>
      <c r="E52" s="78" t="s">
        <v>103</v>
      </c>
      <c r="F52" s="78" t="str">
        <f>_xlfn.DISPIMG("ID_DAED24ACDCF7484A9C848C0354C575D7",1)</f>
        <v>=DISPIMG("ID_DAED24ACDCF7484A9C848C0354C575D7",1)</v>
      </c>
      <c r="G52" s="78"/>
      <c r="H52" s="80" t="s">
        <v>55</v>
      </c>
      <c r="I52" s="81">
        <v>41.24</v>
      </c>
      <c r="J52" s="85"/>
      <c r="K52" s="82">
        <f t="shared" si="1"/>
        <v>0</v>
      </c>
      <c r="L52" s="86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</row>
    <row r="53" s="64" customFormat="1" ht="150" customHeight="1" spans="1:221">
      <c r="A53" s="78">
        <v>51</v>
      </c>
      <c r="B53" s="78" t="s">
        <v>13</v>
      </c>
      <c r="C53" s="78" t="s">
        <v>91</v>
      </c>
      <c r="D53" s="79" t="s">
        <v>104</v>
      </c>
      <c r="E53" s="78" t="s">
        <v>103</v>
      </c>
      <c r="F53" s="78" t="str">
        <f>_xlfn.DISPIMG("ID_1CC0EA23786C40A59BE3CFAB006DBB3D",1)</f>
        <v>=DISPIMG("ID_1CC0EA23786C40A59BE3CFAB006DBB3D",1)</v>
      </c>
      <c r="G53" s="78"/>
      <c r="H53" s="80" t="s">
        <v>55</v>
      </c>
      <c r="I53" s="81">
        <v>4.55</v>
      </c>
      <c r="J53" s="85"/>
      <c r="K53" s="82">
        <f t="shared" si="1"/>
        <v>0</v>
      </c>
      <c r="L53" s="86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</row>
    <row r="54" s="64" customFormat="1" ht="150" customHeight="1" spans="1:221">
      <c r="A54" s="78">
        <v>52</v>
      </c>
      <c r="B54" s="78" t="s">
        <v>13</v>
      </c>
      <c r="C54" s="78" t="s">
        <v>91</v>
      </c>
      <c r="D54" s="79" t="s">
        <v>105</v>
      </c>
      <c r="E54" s="78" t="s">
        <v>16</v>
      </c>
      <c r="F54" s="78" t="str">
        <f>_xlfn.DISPIMG("ID_9B07031857AF49D893221B466B7AF956",1)</f>
        <v>=DISPIMG("ID_9B07031857AF49D893221B466B7AF956",1)</v>
      </c>
      <c r="G54" s="78"/>
      <c r="H54" s="80" t="s">
        <v>55</v>
      </c>
      <c r="I54" s="81">
        <v>550.32</v>
      </c>
      <c r="J54" s="85"/>
      <c r="K54" s="82">
        <f t="shared" si="1"/>
        <v>0</v>
      </c>
      <c r="L54" s="86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</row>
    <row r="55" s="64" customFormat="1" ht="150" customHeight="1" spans="1:221">
      <c r="A55" s="78">
        <v>53</v>
      </c>
      <c r="B55" s="78" t="s">
        <v>13</v>
      </c>
      <c r="C55" s="78" t="s">
        <v>91</v>
      </c>
      <c r="D55" s="79" t="s">
        <v>106</v>
      </c>
      <c r="E55" s="78" t="s">
        <v>65</v>
      </c>
      <c r="F55" s="78" t="str">
        <f>_xlfn.DISPIMG("ID_9B90986D022447979D929E5D6835B2BA",1)</f>
        <v>=DISPIMG("ID_9B90986D022447979D929E5D6835B2BA",1)</v>
      </c>
      <c r="G55" s="78"/>
      <c r="H55" s="80" t="s">
        <v>55</v>
      </c>
      <c r="I55" s="81">
        <v>19.71</v>
      </c>
      <c r="J55" s="85"/>
      <c r="K55" s="82">
        <f t="shared" si="1"/>
        <v>0</v>
      </c>
      <c r="L55" s="86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</row>
    <row r="56" s="64" customFormat="1" ht="150" customHeight="1" spans="1:221">
      <c r="A56" s="78">
        <v>54</v>
      </c>
      <c r="B56" s="78" t="s">
        <v>13</v>
      </c>
      <c r="C56" s="78" t="s">
        <v>91</v>
      </c>
      <c r="D56" s="79" t="s">
        <v>107</v>
      </c>
      <c r="E56" s="78" t="s">
        <v>108</v>
      </c>
      <c r="F56" s="78" t="str">
        <f>_xlfn.DISPIMG("ID_427BFC9E9E5D490AAA32DD6E6227B470",1)</f>
        <v>=DISPIMG("ID_427BFC9E9E5D490AAA32DD6E6227B470",1)</v>
      </c>
      <c r="G56" s="78"/>
      <c r="H56" s="80" t="s">
        <v>55</v>
      </c>
      <c r="I56" s="81">
        <v>841.83</v>
      </c>
      <c r="J56" s="85"/>
      <c r="K56" s="82">
        <f t="shared" si="1"/>
        <v>0</v>
      </c>
      <c r="L56" s="86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</row>
    <row r="57" s="64" customFormat="1" ht="150" customHeight="1" spans="1:221">
      <c r="A57" s="78">
        <v>55</v>
      </c>
      <c r="B57" s="78" t="s">
        <v>13</v>
      </c>
      <c r="C57" s="78" t="s">
        <v>91</v>
      </c>
      <c r="D57" s="79" t="s">
        <v>109</v>
      </c>
      <c r="E57" s="78" t="s">
        <v>110</v>
      </c>
      <c r="F57" s="78" t="str">
        <f>_xlfn.DISPIMG("ID_3FC07B54C8CA4248A4075FE3A479A340",1)</f>
        <v>=DISPIMG("ID_3FC07B54C8CA4248A4075FE3A479A340",1)</v>
      </c>
      <c r="G57" s="78"/>
      <c r="H57" s="80" t="s">
        <v>55</v>
      </c>
      <c r="I57" s="81">
        <v>607.75</v>
      </c>
      <c r="J57" s="85"/>
      <c r="K57" s="82">
        <f t="shared" si="1"/>
        <v>0</v>
      </c>
      <c r="L57" s="86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</row>
    <row r="58" s="64" customFormat="1" ht="150" customHeight="1" spans="1:221">
      <c r="A58" s="78">
        <v>56</v>
      </c>
      <c r="B58" s="78" t="s">
        <v>13</v>
      </c>
      <c r="C58" s="78" t="s">
        <v>111</v>
      </c>
      <c r="D58" s="79" t="s">
        <v>112</v>
      </c>
      <c r="E58" s="78" t="s">
        <v>16</v>
      </c>
      <c r="F58" s="78" t="str">
        <f>_xlfn.DISPIMG("ID_1D3404BD14E940B6801B888C84891617",1)</f>
        <v>=DISPIMG("ID_1D3404BD14E940B6801B888C84891617",1)</v>
      </c>
      <c r="G58" s="78"/>
      <c r="H58" s="80" t="s">
        <v>55</v>
      </c>
      <c r="I58" s="81">
        <v>226.18</v>
      </c>
      <c r="J58" s="85"/>
      <c r="K58" s="82">
        <f t="shared" si="1"/>
        <v>0</v>
      </c>
      <c r="L58" s="86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</row>
    <row r="59" s="64" customFormat="1" ht="150" customHeight="1" spans="1:221">
      <c r="A59" s="78">
        <v>57</v>
      </c>
      <c r="B59" s="78" t="s">
        <v>13</v>
      </c>
      <c r="C59" s="78" t="s">
        <v>111</v>
      </c>
      <c r="D59" s="79" t="s">
        <v>113</v>
      </c>
      <c r="E59" s="78" t="s">
        <v>47</v>
      </c>
      <c r="F59" s="78" t="str">
        <f>_xlfn.DISPIMG("ID_529628046C6B4273A82F68643B681D41",1)</f>
        <v>=DISPIMG("ID_529628046C6B4273A82F68643B681D41",1)</v>
      </c>
      <c r="G59" s="78"/>
      <c r="H59" s="80" t="s">
        <v>55</v>
      </c>
      <c r="I59" s="81">
        <v>166.42</v>
      </c>
      <c r="J59" s="85"/>
      <c r="K59" s="82">
        <f t="shared" si="1"/>
        <v>0</v>
      </c>
      <c r="L59" s="86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</row>
    <row r="60" s="64" customFormat="1" ht="150" customHeight="1" spans="1:221">
      <c r="A60" s="78">
        <v>58</v>
      </c>
      <c r="B60" s="78" t="s">
        <v>13</v>
      </c>
      <c r="C60" s="78" t="s">
        <v>111</v>
      </c>
      <c r="D60" s="79" t="s">
        <v>114</v>
      </c>
      <c r="E60" s="78" t="s">
        <v>115</v>
      </c>
      <c r="F60" s="78" t="str">
        <f>_xlfn.DISPIMG("ID_FBC8C3BC4B4544529367665990B2821C",1)</f>
        <v>=DISPIMG("ID_FBC8C3BC4B4544529367665990B2821C",1)</v>
      </c>
      <c r="G60" s="78"/>
      <c r="H60" s="80" t="s">
        <v>55</v>
      </c>
      <c r="I60" s="81">
        <v>325.36</v>
      </c>
      <c r="J60" s="85"/>
      <c r="K60" s="82">
        <f t="shared" si="1"/>
        <v>0</v>
      </c>
      <c r="L60" s="86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</row>
    <row r="61" s="64" customFormat="1" ht="150" customHeight="1" spans="1:221">
      <c r="A61" s="78">
        <v>59</v>
      </c>
      <c r="B61" s="78" t="s">
        <v>13</v>
      </c>
      <c r="C61" s="78" t="s">
        <v>111</v>
      </c>
      <c r="D61" s="79" t="s">
        <v>116</v>
      </c>
      <c r="E61" s="78" t="s">
        <v>117</v>
      </c>
      <c r="F61" s="78" t="str">
        <f>_xlfn.DISPIMG("ID_88EF466D41BD456D90D4F39A43C47E6E",1)</f>
        <v>=DISPIMG("ID_88EF466D41BD456D90D4F39A43C47E6E",1)</v>
      </c>
      <c r="G61" s="78"/>
      <c r="H61" s="80" t="s">
        <v>55</v>
      </c>
      <c r="I61" s="81">
        <v>93.1</v>
      </c>
      <c r="J61" s="85"/>
      <c r="K61" s="82">
        <f t="shared" si="1"/>
        <v>0</v>
      </c>
      <c r="L61" s="86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</row>
    <row r="62" s="64" customFormat="1" ht="150" customHeight="1" spans="1:221">
      <c r="A62" s="78">
        <v>60</v>
      </c>
      <c r="B62" s="78" t="s">
        <v>13</v>
      </c>
      <c r="C62" s="78" t="s">
        <v>111</v>
      </c>
      <c r="D62" s="79" t="s">
        <v>118</v>
      </c>
      <c r="E62" s="78" t="s">
        <v>16</v>
      </c>
      <c r="F62" s="78" t="str">
        <f>_xlfn.DISPIMG("ID_16299C6693A344DDB3E35CA4E8B03B68",1)</f>
        <v>=DISPIMG("ID_16299C6693A344DDB3E35CA4E8B03B68",1)</v>
      </c>
      <c r="G62" s="87"/>
      <c r="H62" s="80" t="s">
        <v>55</v>
      </c>
      <c r="I62" s="81">
        <v>3119.16</v>
      </c>
      <c r="J62" s="85"/>
      <c r="K62" s="82">
        <f t="shared" si="1"/>
        <v>0</v>
      </c>
      <c r="L62" s="86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</row>
    <row r="63" s="64" customFormat="1" ht="150" customHeight="1" spans="1:221">
      <c r="A63" s="78">
        <v>61</v>
      </c>
      <c r="B63" s="78" t="s">
        <v>13</v>
      </c>
      <c r="C63" s="78" t="s">
        <v>119</v>
      </c>
      <c r="D63" s="79" t="s">
        <v>120</v>
      </c>
      <c r="E63" s="78" t="s">
        <v>16</v>
      </c>
      <c r="F63" s="78" t="str">
        <f>_xlfn.DISPIMG("ID_8A87A641FE4847A3A7CCA31D81F6AFFC",1)</f>
        <v>=DISPIMG("ID_8A87A641FE4847A3A7CCA31D81F6AFFC",1)</v>
      </c>
      <c r="G63" s="87" t="s">
        <v>121</v>
      </c>
      <c r="H63" s="80" t="s">
        <v>55</v>
      </c>
      <c r="I63" s="81">
        <v>1055.11</v>
      </c>
      <c r="J63" s="85"/>
      <c r="K63" s="82">
        <f t="shared" si="1"/>
        <v>0</v>
      </c>
      <c r="L63" s="86" t="s">
        <v>122</v>
      </c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</row>
    <row r="64" s="64" customFormat="1" ht="150" customHeight="1" spans="1:221">
      <c r="A64" s="78">
        <v>62</v>
      </c>
      <c r="B64" s="78" t="s">
        <v>13</v>
      </c>
      <c r="C64" s="78" t="s">
        <v>119</v>
      </c>
      <c r="D64" s="79" t="s">
        <v>123</v>
      </c>
      <c r="E64" s="78" t="s">
        <v>124</v>
      </c>
      <c r="F64" s="78" t="str">
        <f>_xlfn.DISPIMG("ID_91F7393030764E269A317126E70A0B9D",1)</f>
        <v>=DISPIMG("ID_91F7393030764E269A317126E70A0B9D",1)</v>
      </c>
      <c r="G64" s="87" t="s">
        <v>125</v>
      </c>
      <c r="H64" s="80" t="s">
        <v>55</v>
      </c>
      <c r="I64" s="81">
        <v>341.78</v>
      </c>
      <c r="J64" s="85"/>
      <c r="K64" s="82">
        <f t="shared" si="1"/>
        <v>0</v>
      </c>
      <c r="L64" s="86" t="s">
        <v>122</v>
      </c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</row>
    <row r="65" s="64" customFormat="1" ht="150" customHeight="1" spans="1:221">
      <c r="A65" s="78">
        <v>63</v>
      </c>
      <c r="B65" s="78" t="s">
        <v>13</v>
      </c>
      <c r="C65" s="78" t="s">
        <v>119</v>
      </c>
      <c r="D65" s="79" t="s">
        <v>126</v>
      </c>
      <c r="E65" s="78" t="s">
        <v>47</v>
      </c>
      <c r="F65" s="78" t="str">
        <f>_xlfn.DISPIMG("ID_ED467CBFA9B6461897B95F0378D8BC6C",1)</f>
        <v>=DISPIMG("ID_ED467CBFA9B6461897B95F0378D8BC6C",1)</v>
      </c>
      <c r="G65" s="87" t="s">
        <v>127</v>
      </c>
      <c r="H65" s="80" t="s">
        <v>55</v>
      </c>
      <c r="I65" s="81">
        <v>75.41</v>
      </c>
      <c r="J65" s="82"/>
      <c r="K65" s="82">
        <f t="shared" si="1"/>
        <v>0</v>
      </c>
      <c r="L65" s="79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</row>
    <row r="66" s="64" customFormat="1" ht="150" customHeight="1" spans="1:221">
      <c r="A66" s="78">
        <v>64</v>
      </c>
      <c r="B66" s="78" t="s">
        <v>13</v>
      </c>
      <c r="C66" s="78" t="s">
        <v>128</v>
      </c>
      <c r="D66" s="79" t="s">
        <v>129</v>
      </c>
      <c r="E66" s="78" t="s">
        <v>130</v>
      </c>
      <c r="F66" s="78" t="str">
        <f>_xlfn.DISPIMG("ID_3996FAAD7DB04AE683587B1E0EF37538",1)</f>
        <v>=DISPIMG("ID_3996FAAD7DB04AE683587B1E0EF37538",1)</v>
      </c>
      <c r="G66" s="87"/>
      <c r="H66" s="80" t="s">
        <v>55</v>
      </c>
      <c r="I66" s="81">
        <v>4.8</v>
      </c>
      <c r="J66" s="82"/>
      <c r="K66" s="82">
        <f t="shared" si="1"/>
        <v>0</v>
      </c>
      <c r="L66" s="79" t="s">
        <v>131</v>
      </c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</row>
    <row r="67" s="65" customFormat="1" ht="39" customHeight="1" spans="1:221">
      <c r="A67" s="88" t="s">
        <v>132</v>
      </c>
      <c r="B67" s="88"/>
      <c r="C67" s="88"/>
      <c r="D67" s="88"/>
      <c r="E67" s="88"/>
      <c r="F67" s="88"/>
      <c r="G67" s="88"/>
      <c r="H67" s="88"/>
      <c r="I67" s="88"/>
      <c r="J67" s="89"/>
      <c r="K67" s="89">
        <f>SUM(K3:K66)</f>
        <v>0</v>
      </c>
      <c r="L67" s="90"/>
    </row>
    <row r="68" s="66" customFormat="1" ht="90" customHeight="1" spans="1:221">
      <c r="A68" s="91" t="s">
        <v>133</v>
      </c>
      <c r="B68" s="92"/>
      <c r="C68" s="92"/>
      <c r="D68" s="93"/>
      <c r="E68" s="92"/>
      <c r="F68" s="92"/>
      <c r="G68" s="92"/>
      <c r="H68" s="92"/>
      <c r="I68" s="92"/>
      <c r="J68" s="94"/>
      <c r="K68" s="94"/>
      <c r="L68" s="92"/>
    </row>
    <row r="69" s="66" customFormat="1" ht="27" customHeight="1" spans="1:221">
      <c r="C69" s="95"/>
      <c r="D69" s="95"/>
      <c r="E69" s="95"/>
      <c r="J69" s="70"/>
      <c r="K69" s="70"/>
      <c r="L69" s="71"/>
    </row>
    <row r="70" s="66" customFormat="1" ht="27" customHeight="1" spans="1:221">
      <c r="C70" s="95"/>
      <c r="D70" s="95"/>
      <c r="E70" s="95"/>
      <c r="J70" s="70"/>
      <c r="K70" s="70"/>
      <c r="L70" s="71"/>
    </row>
    <row r="71" s="66" customFormat="1" ht="27" customHeight="1" spans="1:221">
      <c r="C71" s="95"/>
      <c r="D71" s="95"/>
      <c r="E71" s="95"/>
      <c r="J71" s="70"/>
      <c r="K71" s="70"/>
      <c r="L71" s="71"/>
    </row>
    <row r="72" s="66" customFormat="1" ht="27" customHeight="1" spans="1:221">
      <c r="C72" s="95"/>
      <c r="D72" s="95"/>
      <c r="E72" s="95"/>
      <c r="J72" s="70"/>
      <c r="K72" s="70"/>
      <c r="L72" s="71"/>
    </row>
    <row r="73" s="66" customFormat="1" ht="27" customHeight="1" spans="1:221">
      <c r="C73" s="95"/>
      <c r="D73" s="95"/>
      <c r="E73" s="95"/>
      <c r="J73" s="70"/>
      <c r="K73" s="70"/>
      <c r="L73" s="71"/>
    </row>
    <row r="74" s="66" customFormat="1" ht="27" customHeight="1" spans="1:221">
      <c r="C74" s="95"/>
      <c r="D74" s="95"/>
      <c r="E74" s="95"/>
      <c r="J74" s="70"/>
      <c r="K74" s="70"/>
      <c r="L74" s="71"/>
    </row>
    <row r="75" s="66" customFormat="1" ht="27" customHeight="1" spans="1:221">
      <c r="C75" s="95"/>
      <c r="D75" s="95"/>
      <c r="E75" s="95"/>
      <c r="J75" s="70"/>
      <c r="K75" s="70"/>
      <c r="L75" s="71"/>
    </row>
    <row r="76" s="66" customFormat="1" ht="27" customHeight="1" spans="1:221">
      <c r="C76" s="95"/>
      <c r="D76" s="95"/>
      <c r="E76" s="95"/>
      <c r="J76" s="70"/>
      <c r="K76" s="70"/>
      <c r="L76" s="71"/>
    </row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</sheetData>
  <autoFilter xmlns:etc="http://www.wps.cn/officeDocument/2017/etCustomData" ref="A2:HQ82" etc:filterBottomFollowUsedRange="0">
    <extLst/>
  </autoFilter>
  <mergeCells count="3">
    <mergeCell ref="A1:L1"/>
    <mergeCell ref="A67:J67"/>
    <mergeCell ref="A68:L68"/>
  </mergeCells>
  <printOptions gridLines="1"/>
  <pageMargins left="0.751388888888889" right="0.751388888888889" top="0.354166666666667" bottom="0.0784722222222222" header="0.118055555555556" footer="0.118055555555556"/>
  <pageSetup paperSize="9" scale="50" fitToHeight="0" orientation="landscape" horizontalDpi="600"/>
  <headerFooter>
    <oddFooter>&amp;C&amp;20第 &amp;P 页，共 &amp;N 页</oddFooter>
  </headerFooter>
  <colBreaks count="1" manualBreakCount="1">
    <brk id="12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F26" sqref="F26:F27"/>
    </sheetView>
  </sheetViews>
  <sheetFormatPr defaultColWidth="9" defaultRowHeight="13.5"/>
  <cols>
    <col min="1" max="16384" width="9" style="1"/>
  </cols>
  <sheetData>
    <row r="1" spans="1:17">
      <c r="A1" s="2" t="s">
        <v>1</v>
      </c>
      <c r="B1" s="3" t="s">
        <v>134</v>
      </c>
      <c r="C1" s="3" t="s">
        <v>8</v>
      </c>
      <c r="D1" s="3" t="s">
        <v>9</v>
      </c>
      <c r="E1" s="3" t="s">
        <v>135</v>
      </c>
      <c r="F1" s="3" t="s">
        <v>136</v>
      </c>
      <c r="G1" s="3" t="s">
        <v>137</v>
      </c>
      <c r="H1" s="4" t="s">
        <v>12</v>
      </c>
      <c r="J1" s="2" t="s">
        <v>1</v>
      </c>
      <c r="K1" s="3" t="s">
        <v>134</v>
      </c>
      <c r="L1" s="3" t="s">
        <v>8</v>
      </c>
      <c r="M1" s="3" t="s">
        <v>9</v>
      </c>
      <c r="N1" s="3" t="s">
        <v>135</v>
      </c>
      <c r="O1" s="3" t="s">
        <v>136</v>
      </c>
      <c r="P1" s="3" t="s">
        <v>137</v>
      </c>
      <c r="Q1" s="4" t="s">
        <v>12</v>
      </c>
    </row>
    <row r="2" spans="1:17">
      <c r="A2" s="5" t="s">
        <v>138</v>
      </c>
      <c r="B2" s="6" t="s">
        <v>139</v>
      </c>
      <c r="C2" s="6"/>
      <c r="D2" s="6"/>
      <c r="E2" s="7"/>
      <c r="F2" s="8"/>
      <c r="G2" s="9">
        <f>G3+G4</f>
        <v>0</v>
      </c>
      <c r="H2" s="10"/>
      <c r="J2" s="5" t="s">
        <v>138</v>
      </c>
      <c r="K2" s="6" t="s">
        <v>139</v>
      </c>
      <c r="L2" s="6"/>
      <c r="M2" s="6"/>
      <c r="N2" s="7"/>
      <c r="O2" s="8"/>
      <c r="P2" s="9">
        <f>P3+P4</f>
        <v>0</v>
      </c>
      <c r="Q2" s="10"/>
    </row>
    <row r="3" spans="1:17">
      <c r="A3" s="11">
        <v>1</v>
      </c>
      <c r="B3" s="12"/>
      <c r="C3" s="13"/>
      <c r="D3" s="14"/>
      <c r="E3" s="13"/>
      <c r="F3" s="15"/>
      <c r="G3" s="16"/>
      <c r="H3" s="17"/>
      <c r="J3" s="11">
        <v>1</v>
      </c>
      <c r="K3" s="12"/>
      <c r="L3" s="13"/>
      <c r="M3" s="14"/>
      <c r="N3" s="13"/>
      <c r="O3" s="15"/>
      <c r="P3" s="16"/>
      <c r="Q3" s="17"/>
    </row>
    <row r="4" spans="1:17">
      <c r="A4" s="11">
        <v>2</v>
      </c>
      <c r="B4" s="12"/>
      <c r="C4" s="13"/>
      <c r="D4" s="14"/>
      <c r="E4" s="8"/>
      <c r="F4" s="15"/>
      <c r="G4" s="16"/>
      <c r="H4" s="18"/>
      <c r="J4" s="11">
        <v>2</v>
      </c>
      <c r="K4" s="12"/>
      <c r="L4" s="13"/>
      <c r="M4" s="14"/>
      <c r="N4" s="8"/>
      <c r="O4" s="15"/>
      <c r="P4" s="16"/>
      <c r="Q4" s="18"/>
    </row>
    <row r="5" spans="1:17">
      <c r="A5" s="19" t="s">
        <v>140</v>
      </c>
      <c r="B5" s="20" t="s">
        <v>141</v>
      </c>
      <c r="C5" s="20"/>
      <c r="D5" s="21"/>
      <c r="E5" s="22"/>
      <c r="F5" s="23"/>
      <c r="G5" s="9"/>
      <c r="H5" s="24"/>
      <c r="J5" s="19" t="s">
        <v>140</v>
      </c>
      <c r="K5" s="20" t="s">
        <v>141</v>
      </c>
      <c r="L5" s="20"/>
      <c r="M5" s="21"/>
      <c r="N5" s="22"/>
      <c r="O5" s="23"/>
      <c r="P5" s="9"/>
      <c r="Q5" s="24"/>
    </row>
    <row r="6" spans="1:17">
      <c r="A6" s="25">
        <v>1</v>
      </c>
      <c r="B6" s="26"/>
      <c r="C6" s="20"/>
      <c r="D6" s="27"/>
      <c r="E6" s="28"/>
      <c r="F6" s="29"/>
      <c r="G6" s="9"/>
      <c r="H6" s="24"/>
      <c r="J6" s="25">
        <v>1</v>
      </c>
      <c r="K6" s="26" t="s">
        <v>142</v>
      </c>
      <c r="L6" s="20"/>
      <c r="M6" s="27"/>
      <c r="N6" s="28"/>
      <c r="O6" s="29"/>
      <c r="P6" s="9"/>
      <c r="Q6" s="24"/>
    </row>
    <row r="7" spans="1:17">
      <c r="A7" s="30">
        <v>1.1</v>
      </c>
      <c r="B7" s="31"/>
      <c r="C7" s="13"/>
      <c r="D7" s="14"/>
      <c r="E7" s="13"/>
      <c r="F7" s="15"/>
      <c r="G7" s="16"/>
      <c r="H7" s="32"/>
      <c r="J7" s="30">
        <v>1.1</v>
      </c>
      <c r="K7" s="31"/>
      <c r="L7" s="13"/>
      <c r="M7" s="14"/>
      <c r="N7" s="13"/>
      <c r="O7" s="15"/>
      <c r="P7" s="16"/>
      <c r="Q7" s="32"/>
    </row>
    <row r="8" spans="1:17">
      <c r="A8" s="30">
        <v>1.2</v>
      </c>
      <c r="B8" s="31"/>
      <c r="C8" s="13"/>
      <c r="D8" s="14"/>
      <c r="E8" s="13"/>
      <c r="F8" s="15"/>
      <c r="G8" s="16"/>
      <c r="H8" s="32"/>
      <c r="J8" s="30">
        <v>1.2</v>
      </c>
      <c r="K8" s="31"/>
      <c r="L8" s="13"/>
      <c r="M8" s="14"/>
      <c r="N8" s="13"/>
      <c r="O8" s="15"/>
      <c r="P8" s="16"/>
      <c r="Q8" s="32"/>
    </row>
    <row r="9" spans="1:17">
      <c r="A9" s="33"/>
      <c r="B9" s="12"/>
      <c r="C9" s="34"/>
      <c r="D9" s="14"/>
      <c r="E9" s="13"/>
      <c r="F9" s="15"/>
      <c r="G9" s="16"/>
      <c r="H9" s="32"/>
      <c r="J9" s="33"/>
      <c r="K9" s="12"/>
      <c r="L9" s="34"/>
      <c r="M9" s="14"/>
      <c r="N9" s="13"/>
      <c r="O9" s="15"/>
      <c r="P9" s="16"/>
      <c r="Q9" s="32"/>
    </row>
    <row r="10" spans="1:17">
      <c r="A10" s="25" t="s">
        <v>143</v>
      </c>
      <c r="B10" s="26" t="s">
        <v>144</v>
      </c>
      <c r="C10" s="20"/>
      <c r="D10" s="27"/>
      <c r="E10" s="28"/>
      <c r="F10" s="29"/>
      <c r="G10" s="9"/>
      <c r="H10" s="24"/>
      <c r="J10" s="25">
        <v>6</v>
      </c>
      <c r="K10" s="26" t="s">
        <v>144</v>
      </c>
      <c r="L10" s="20"/>
      <c r="M10" s="27"/>
      <c r="N10" s="28"/>
      <c r="O10" s="29"/>
      <c r="P10" s="9"/>
      <c r="Q10" s="24"/>
    </row>
    <row r="11" spans="1:17">
      <c r="A11" s="30">
        <v>6.1</v>
      </c>
      <c r="B11" s="12"/>
      <c r="C11" s="13"/>
      <c r="D11" s="14"/>
      <c r="E11" s="13"/>
      <c r="F11" s="15"/>
      <c r="G11" s="16"/>
      <c r="H11" s="24"/>
      <c r="J11" s="30">
        <v>6.1</v>
      </c>
      <c r="K11" s="12"/>
      <c r="L11" s="13"/>
      <c r="M11" s="14"/>
      <c r="N11" s="13"/>
      <c r="O11" s="15"/>
      <c r="P11" s="16"/>
      <c r="Q11" s="24"/>
    </row>
    <row r="12" spans="1:17">
      <c r="A12" s="30">
        <v>6.2</v>
      </c>
      <c r="B12" s="12"/>
      <c r="C12" s="13"/>
      <c r="D12" s="14"/>
      <c r="E12" s="13"/>
      <c r="F12" s="15"/>
      <c r="G12" s="16"/>
      <c r="H12" s="35"/>
      <c r="J12" s="30">
        <v>6.2</v>
      </c>
      <c r="K12" s="12"/>
      <c r="L12" s="13"/>
      <c r="M12" s="14"/>
      <c r="N12" s="13"/>
      <c r="O12" s="15"/>
      <c r="P12" s="16"/>
      <c r="Q12" s="35"/>
    </row>
    <row r="13" spans="1:17">
      <c r="A13" s="30">
        <v>6.3</v>
      </c>
      <c r="B13" s="12"/>
      <c r="C13" s="13"/>
      <c r="D13" s="14"/>
      <c r="E13" s="13"/>
      <c r="F13" s="15"/>
      <c r="G13" s="16"/>
      <c r="H13" s="35"/>
      <c r="J13" s="30">
        <v>6.3</v>
      </c>
      <c r="K13" s="12"/>
      <c r="L13" s="13"/>
      <c r="M13" s="14"/>
      <c r="N13" s="13"/>
      <c r="O13" s="15"/>
      <c r="P13" s="16"/>
      <c r="Q13" s="35"/>
    </row>
    <row r="14" spans="1:17">
      <c r="A14" s="30">
        <v>6.4</v>
      </c>
      <c r="B14" s="12"/>
      <c r="C14" s="13"/>
      <c r="D14" s="14"/>
      <c r="E14" s="13"/>
      <c r="F14" s="15"/>
      <c r="G14" s="16"/>
      <c r="H14" s="35"/>
      <c r="J14" s="30">
        <v>6.4</v>
      </c>
      <c r="K14" s="12"/>
      <c r="L14" s="13"/>
      <c r="M14" s="14"/>
      <c r="N14" s="13"/>
      <c r="O14" s="15"/>
      <c r="P14" s="16"/>
      <c r="Q14" s="35"/>
    </row>
    <row r="15" spans="1:17">
      <c r="A15" s="30">
        <v>6.5</v>
      </c>
      <c r="B15" s="36"/>
      <c r="C15" s="13"/>
      <c r="D15" s="14"/>
      <c r="E15" s="13"/>
      <c r="F15" s="15"/>
      <c r="G15" s="16"/>
      <c r="H15" s="35"/>
      <c r="J15" s="30">
        <v>6.5</v>
      </c>
      <c r="K15" s="36"/>
      <c r="L15" s="13"/>
      <c r="M15" s="14"/>
      <c r="N15" s="13"/>
      <c r="O15" s="15"/>
      <c r="P15" s="16"/>
      <c r="Q15" s="35"/>
    </row>
    <row r="16" spans="1:17">
      <c r="A16" s="30">
        <v>6.6</v>
      </c>
      <c r="B16" s="37"/>
      <c r="C16" s="13"/>
      <c r="D16" s="38"/>
      <c r="E16" s="13"/>
      <c r="F16" s="15"/>
      <c r="G16" s="16"/>
      <c r="H16" s="39"/>
      <c r="J16" s="30">
        <v>6.6</v>
      </c>
      <c r="K16" s="37"/>
      <c r="L16" s="13"/>
      <c r="M16" s="38"/>
      <c r="N16" s="13"/>
      <c r="O16" s="15"/>
      <c r="P16" s="16"/>
      <c r="Q16" s="39"/>
    </row>
    <row r="17" ht="14.25" spans="1:17">
      <c r="A17" s="40"/>
      <c r="B17" s="41"/>
      <c r="C17" s="41"/>
      <c r="D17" s="41"/>
      <c r="E17" s="42"/>
      <c r="F17" s="43"/>
      <c r="G17" s="41"/>
      <c r="H17" s="44"/>
      <c r="J17" s="40"/>
      <c r="K17" s="41"/>
      <c r="L17" s="41"/>
      <c r="M17" s="41"/>
      <c r="N17" s="42"/>
      <c r="O17" s="43"/>
      <c r="P17" s="41"/>
      <c r="Q17" s="44"/>
    </row>
    <row r="18" spans="1:17">
      <c r="A18" s="45" t="s">
        <v>143</v>
      </c>
      <c r="B18" s="46" t="s">
        <v>145</v>
      </c>
      <c r="C18" s="13"/>
      <c r="D18" s="47"/>
      <c r="E18" s="13"/>
      <c r="F18" s="15"/>
      <c r="G18" s="9"/>
      <c r="H18" s="48"/>
      <c r="J18" s="45" t="s">
        <v>143</v>
      </c>
      <c r="K18" s="46" t="s">
        <v>145</v>
      </c>
      <c r="L18" s="13"/>
      <c r="M18" s="47"/>
      <c r="N18" s="13"/>
      <c r="O18" s="15"/>
      <c r="P18" s="9"/>
      <c r="Q18" s="48"/>
    </row>
    <row r="19" spans="1:17">
      <c r="A19" s="19" t="s">
        <v>146</v>
      </c>
      <c r="B19" s="26" t="s">
        <v>147</v>
      </c>
      <c r="C19" s="20"/>
      <c r="D19" s="29"/>
      <c r="E19" s="28"/>
      <c r="F19" s="29"/>
      <c r="G19" s="9"/>
      <c r="H19" s="24"/>
      <c r="J19" s="19" t="s">
        <v>146</v>
      </c>
      <c r="K19" s="26" t="s">
        <v>147</v>
      </c>
      <c r="L19" s="20"/>
      <c r="M19" s="29"/>
      <c r="N19" s="28"/>
      <c r="O19" s="29"/>
      <c r="P19" s="9"/>
      <c r="Q19" s="24"/>
    </row>
    <row r="20" spans="1:17">
      <c r="A20" s="11">
        <v>1</v>
      </c>
      <c r="B20" s="12" t="s">
        <v>148</v>
      </c>
      <c r="C20" s="49"/>
      <c r="D20" s="50"/>
      <c r="E20" s="51"/>
      <c r="F20" s="13"/>
      <c r="G20" s="16"/>
      <c r="H20" s="32"/>
      <c r="J20" s="11">
        <v>1</v>
      </c>
      <c r="K20" s="12" t="s">
        <v>148</v>
      </c>
      <c r="L20" s="49"/>
      <c r="M20" s="50"/>
      <c r="N20" s="51"/>
      <c r="O20" s="13"/>
      <c r="P20" s="16"/>
      <c r="Q20" s="32"/>
    </row>
    <row r="21" spans="1:17">
      <c r="A21" s="11">
        <v>2</v>
      </c>
      <c r="B21" s="12" t="s">
        <v>149</v>
      </c>
      <c r="C21" s="49"/>
      <c r="D21" s="50"/>
      <c r="E21" s="51"/>
      <c r="F21" s="13"/>
      <c r="G21" s="16"/>
      <c r="H21" s="32"/>
      <c r="J21" s="11">
        <v>2</v>
      </c>
      <c r="K21" s="12" t="s">
        <v>149</v>
      </c>
      <c r="L21" s="49"/>
      <c r="M21" s="50"/>
      <c r="N21" s="51"/>
      <c r="O21" s="13"/>
      <c r="P21" s="16"/>
      <c r="Q21" s="32"/>
    </row>
    <row r="22" spans="1:17">
      <c r="A22" s="52" t="s">
        <v>150</v>
      </c>
      <c r="B22" s="53" t="s">
        <v>151</v>
      </c>
      <c r="C22" s="49"/>
      <c r="D22" s="50"/>
      <c r="E22" s="51"/>
      <c r="F22" s="13"/>
      <c r="G22" s="16"/>
      <c r="H22" s="39"/>
      <c r="J22" s="52" t="s">
        <v>150</v>
      </c>
      <c r="K22" s="53" t="s">
        <v>151</v>
      </c>
      <c r="L22" s="49"/>
      <c r="M22" s="50"/>
      <c r="N22" s="51"/>
      <c r="O22" s="13"/>
      <c r="P22" s="16"/>
      <c r="Q22" s="39"/>
    </row>
    <row r="23" ht="14.25" spans="1:17">
      <c r="A23" s="54" t="s">
        <v>152</v>
      </c>
      <c r="B23" s="55" t="s">
        <v>153</v>
      </c>
      <c r="C23" s="56"/>
      <c r="D23" s="57"/>
      <c r="E23" s="58"/>
      <c r="F23" s="59"/>
      <c r="G23" s="60"/>
      <c r="H23" s="61"/>
      <c r="J23" s="54" t="s">
        <v>152</v>
      </c>
      <c r="K23" s="55" t="s">
        <v>153</v>
      </c>
      <c r="L23" s="56"/>
      <c r="M23" s="57"/>
      <c r="N23" s="58"/>
      <c r="O23" s="59"/>
      <c r="P23" s="60"/>
      <c r="Q23" s="61"/>
    </row>
  </sheetData>
  <mergeCells count="8">
    <mergeCell ref="D20:E20"/>
    <mergeCell ref="M20:N20"/>
    <mergeCell ref="D21:E21"/>
    <mergeCell ref="M21:N21"/>
    <mergeCell ref="D22:E22"/>
    <mergeCell ref="M22:N22"/>
    <mergeCell ref="D23:F23"/>
    <mergeCell ref="M23:O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综合单价分析表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ddh</dc:creator>
  <cp:lastModifiedBy>，遇见</cp:lastModifiedBy>
  <dcterms:created xsi:type="dcterms:W3CDTF">2004-03-24T08:29:00Z</dcterms:created>
  <cp:lastPrinted>2024-08-10T06:02:00Z</cp:lastPrinted>
  <dcterms:modified xsi:type="dcterms:W3CDTF">2025-12-12T01:29:41Z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5D1DF24DD0CB43C3A7A8DD38C6F2F83B_13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